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9480" yWindow="0" windowWidth="19980" windowHeight="12645" activeTab="1"/>
  </bookViews>
  <sheets>
    <sheet name="Leg-Stds" sheetId="4" r:id="rId1"/>
    <sheet name="I-Leg Count" sheetId="2" r:id="rId2"/>
    <sheet name="R-Leg Count" sheetId="5" r:id="rId3"/>
    <sheet name="Ec 078 Stds" sheetId="6" r:id="rId4"/>
    <sheet name="Ec Count" sheetId="7" r:id="rId5"/>
    <sheet name="Sample list" sheetId="1" r:id="rId6"/>
    <sheet name="19Oct" sheetId="3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2" l="1"/>
  <c r="N14" i="2"/>
  <c r="M14" i="2"/>
  <c r="L14" i="2"/>
  <c r="S14" i="2"/>
  <c r="Q16" i="2"/>
  <c r="N16" i="2"/>
  <c r="M15" i="2"/>
  <c r="P14" i="2"/>
  <c r="I7" i="5" l="1"/>
  <c r="I8" i="5"/>
  <c r="P17" i="2"/>
  <c r="N18" i="2"/>
  <c r="N17" i="2"/>
  <c r="N15" i="2"/>
  <c r="N12" i="2"/>
  <c r="M13" i="2"/>
  <c r="M12" i="2"/>
  <c r="M11" i="2"/>
  <c r="M10" i="2"/>
  <c r="M9" i="2"/>
  <c r="P7" i="2"/>
  <c r="L8" i="2"/>
  <c r="L9" i="2"/>
  <c r="L10" i="2"/>
  <c r="L11" i="2"/>
  <c r="L12" i="2"/>
  <c r="L13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7" i="2"/>
  <c r="N11" i="2"/>
  <c r="N10" i="2"/>
  <c r="N9" i="2"/>
  <c r="N8" i="2"/>
  <c r="M7" i="2"/>
  <c r="S7" i="2"/>
  <c r="O10" i="2"/>
  <c r="R10" i="2" s="1"/>
  <c r="M70" i="4"/>
  <c r="I70" i="4"/>
  <c r="E60" i="4"/>
  <c r="Q8" i="2" l="1"/>
  <c r="O8" i="2"/>
  <c r="M35" i="2"/>
  <c r="M39" i="2"/>
  <c r="M40" i="2"/>
  <c r="J60" i="4"/>
  <c r="K60" i="4"/>
  <c r="L70" i="4"/>
  <c r="G77" i="4"/>
  <c r="N40" i="2" l="1"/>
  <c r="Q40" i="2" s="1"/>
  <c r="T40" i="2" s="1"/>
  <c r="P40" i="2"/>
  <c r="S40" i="2" s="1"/>
  <c r="O40" i="2"/>
  <c r="R40" i="2" s="1"/>
  <c r="I10" i="7" l="1"/>
  <c r="J10" i="7" s="1"/>
  <c r="I9" i="7"/>
  <c r="J9" i="7" s="1"/>
  <c r="I8" i="7"/>
  <c r="J8" i="7" s="1"/>
  <c r="I7" i="7"/>
  <c r="K8" i="7" l="1"/>
  <c r="L8" i="7"/>
  <c r="K10" i="7"/>
  <c r="L10" i="7"/>
  <c r="L9" i="7"/>
  <c r="K9" i="7"/>
  <c r="G16" i="6"/>
  <c r="L2" i="7" s="1"/>
  <c r="D6" i="6"/>
  <c r="C9" i="6"/>
  <c r="D9" i="6" s="1"/>
  <c r="C8" i="6"/>
  <c r="D8" i="6" s="1"/>
  <c r="C7" i="6"/>
  <c r="D7" i="6" s="1"/>
  <c r="C6" i="6"/>
  <c r="I6" i="6"/>
  <c r="I9" i="6"/>
  <c r="I8" i="6"/>
  <c r="I7" i="6"/>
  <c r="I13" i="7" l="1"/>
  <c r="J13" i="7" s="1"/>
  <c r="G15" i="6"/>
  <c r="L1" i="7" s="1"/>
  <c r="J7" i="7" s="1"/>
  <c r="I11" i="7" l="1"/>
  <c r="J11" i="7" s="1"/>
  <c r="I12" i="7"/>
  <c r="J12" i="7" s="1"/>
  <c r="L12" i="7" s="1"/>
  <c r="L7" i="7"/>
  <c r="K7" i="7"/>
  <c r="I14" i="7"/>
  <c r="J14" i="7" s="1"/>
  <c r="I15" i="7"/>
  <c r="J15" i="7" s="1"/>
  <c r="I16" i="7"/>
  <c r="L13" i="7"/>
  <c r="K13" i="7"/>
  <c r="M13" i="7" s="1"/>
  <c r="G13" i="6"/>
  <c r="K12" i="7" l="1"/>
  <c r="M12" i="7" s="1"/>
  <c r="L15" i="7"/>
  <c r="K15" i="7"/>
  <c r="M15" i="7" s="1"/>
  <c r="L14" i="7"/>
  <c r="K14" i="7"/>
  <c r="M14" i="7" s="1"/>
  <c r="K11" i="7"/>
  <c r="M11" i="7" s="1"/>
  <c r="L11" i="7"/>
  <c r="J16" i="7" s="1"/>
  <c r="O39" i="2"/>
  <c r="R39" i="2" s="1"/>
  <c r="O33" i="2"/>
  <c r="R33" i="2" s="1"/>
  <c r="O32" i="2"/>
  <c r="R32" i="2" s="1"/>
  <c r="O30" i="2"/>
  <c r="R30" i="2" s="1"/>
  <c r="M28" i="2"/>
  <c r="P28" i="2" s="1"/>
  <c r="S28" i="2" s="1"/>
  <c r="N39" i="2"/>
  <c r="Q39" i="2" s="1"/>
  <c r="T39" i="2" s="1"/>
  <c r="P39" i="2"/>
  <c r="S39" i="2" s="1"/>
  <c r="N38" i="2"/>
  <c r="Q38" i="2" s="1"/>
  <c r="T38" i="2" s="1"/>
  <c r="M38" i="2"/>
  <c r="P38" i="2" s="1"/>
  <c r="S38" i="2" s="1"/>
  <c r="O38" i="2"/>
  <c r="R38" i="2" s="1"/>
  <c r="N37" i="2"/>
  <c r="Q37" i="2" s="1"/>
  <c r="T37" i="2" s="1"/>
  <c r="M37" i="2"/>
  <c r="P37" i="2" s="1"/>
  <c r="S37" i="2" s="1"/>
  <c r="O37" i="2"/>
  <c r="R37" i="2" s="1"/>
  <c r="N36" i="2"/>
  <c r="Q36" i="2" s="1"/>
  <c r="T36" i="2" s="1"/>
  <c r="M36" i="2"/>
  <c r="P36" i="2" s="1"/>
  <c r="S36" i="2" s="1"/>
  <c r="O36" i="2"/>
  <c r="R36" i="2" s="1"/>
  <c r="N35" i="2"/>
  <c r="Q35" i="2" s="1"/>
  <c r="T35" i="2" s="1"/>
  <c r="P35" i="2"/>
  <c r="S35" i="2" s="1"/>
  <c r="O35" i="2"/>
  <c r="R35" i="2" s="1"/>
  <c r="N34" i="2"/>
  <c r="Q34" i="2" s="1"/>
  <c r="T34" i="2" s="1"/>
  <c r="M34" i="2"/>
  <c r="P34" i="2" s="1"/>
  <c r="S34" i="2" s="1"/>
  <c r="O34" i="2"/>
  <c r="R34" i="2" s="1"/>
  <c r="N33" i="2"/>
  <c r="Q33" i="2" s="1"/>
  <c r="T33" i="2" s="1"/>
  <c r="M33" i="2"/>
  <c r="P33" i="2" s="1"/>
  <c r="S33" i="2" s="1"/>
  <c r="N32" i="2"/>
  <c r="Q32" i="2" s="1"/>
  <c r="T32" i="2" s="1"/>
  <c r="M32" i="2"/>
  <c r="P32" i="2" s="1"/>
  <c r="S32" i="2" s="1"/>
  <c r="N31" i="2"/>
  <c r="Q31" i="2" s="1"/>
  <c r="T31" i="2" s="1"/>
  <c r="M31" i="2"/>
  <c r="P31" i="2" s="1"/>
  <c r="S31" i="2" s="1"/>
  <c r="O31" i="2"/>
  <c r="R31" i="2" s="1"/>
  <c r="N30" i="2"/>
  <c r="Q30" i="2" s="1"/>
  <c r="T30" i="2" s="1"/>
  <c r="M30" i="2"/>
  <c r="P30" i="2" s="1"/>
  <c r="S30" i="2" s="1"/>
  <c r="N29" i="2"/>
  <c r="Q29" i="2" s="1"/>
  <c r="T29" i="2" s="1"/>
  <c r="M29" i="2"/>
  <c r="P29" i="2" s="1"/>
  <c r="S29" i="2" s="1"/>
  <c r="O29" i="2"/>
  <c r="R29" i="2" s="1"/>
  <c r="N28" i="2"/>
  <c r="Q28" i="2" s="1"/>
  <c r="T28" i="2" s="1"/>
  <c r="O28" i="2"/>
  <c r="R28" i="2" s="1"/>
  <c r="L16" i="7" l="1"/>
  <c r="K16" i="7"/>
  <c r="M16" i="7" s="1"/>
  <c r="H26" i="5"/>
  <c r="L26" i="5" s="1"/>
  <c r="O26" i="5" s="1"/>
  <c r="R26" i="5" s="1"/>
  <c r="H25" i="5"/>
  <c r="L25" i="5" s="1"/>
  <c r="O25" i="5" s="1"/>
  <c r="R25" i="5" s="1"/>
  <c r="H24" i="5"/>
  <c r="L24" i="5" s="1"/>
  <c r="O24" i="5" s="1"/>
  <c r="R24" i="5" s="1"/>
  <c r="H23" i="5"/>
  <c r="L23" i="5" s="1"/>
  <c r="O23" i="5" s="1"/>
  <c r="R23" i="5" s="1"/>
  <c r="H22" i="5"/>
  <c r="L22" i="5" s="1"/>
  <c r="O22" i="5" s="1"/>
  <c r="R22" i="5" s="1"/>
  <c r="H18" i="5"/>
  <c r="N29" i="5"/>
  <c r="Q29" i="5" s="1"/>
  <c r="T29" i="5" s="1"/>
  <c r="M29" i="5"/>
  <c r="P29" i="5" s="1"/>
  <c r="S29" i="5" s="1"/>
  <c r="L29" i="5"/>
  <c r="O29" i="5" s="1"/>
  <c r="R29" i="5" s="1"/>
  <c r="N28" i="5"/>
  <c r="Q28" i="5" s="1"/>
  <c r="T28" i="5" s="1"/>
  <c r="M28" i="5"/>
  <c r="P28" i="5" s="1"/>
  <c r="S28" i="5" s="1"/>
  <c r="L28" i="5"/>
  <c r="O28" i="5" s="1"/>
  <c r="R28" i="5" s="1"/>
  <c r="N27" i="5"/>
  <c r="Q27" i="5" s="1"/>
  <c r="T27" i="5" s="1"/>
  <c r="M27" i="5"/>
  <c r="P27" i="5" s="1"/>
  <c r="S27" i="5" s="1"/>
  <c r="L27" i="5"/>
  <c r="O27" i="5" s="1"/>
  <c r="R27" i="5" s="1"/>
  <c r="Q26" i="5"/>
  <c r="T26" i="5" s="1"/>
  <c r="P26" i="5"/>
  <c r="S26" i="5" s="1"/>
  <c r="N26" i="5"/>
  <c r="M26" i="5"/>
  <c r="Q25" i="5"/>
  <c r="T25" i="5" s="1"/>
  <c r="P25" i="5"/>
  <c r="S25" i="5" s="1"/>
  <c r="N25" i="5"/>
  <c r="M25" i="5"/>
  <c r="S24" i="5"/>
  <c r="Q24" i="5"/>
  <c r="T24" i="5" s="1"/>
  <c r="P24" i="5"/>
  <c r="N24" i="5"/>
  <c r="M24" i="5"/>
  <c r="N23" i="5"/>
  <c r="Q23" i="5" s="1"/>
  <c r="T23" i="5" s="1"/>
  <c r="M23" i="5"/>
  <c r="P23" i="5" s="1"/>
  <c r="S23" i="5" s="1"/>
  <c r="N22" i="5"/>
  <c r="Q22" i="5" s="1"/>
  <c r="T22" i="5" s="1"/>
  <c r="M22" i="5"/>
  <c r="P22" i="5" s="1"/>
  <c r="S22" i="5" s="1"/>
  <c r="N21" i="5"/>
  <c r="Q21" i="5" s="1"/>
  <c r="T21" i="5" s="1"/>
  <c r="M21" i="5"/>
  <c r="P21" i="5" s="1"/>
  <c r="S21" i="5" s="1"/>
  <c r="L21" i="5"/>
  <c r="O21" i="5" s="1"/>
  <c r="R21" i="5" s="1"/>
  <c r="N20" i="5"/>
  <c r="Q20" i="5" s="1"/>
  <c r="T20" i="5" s="1"/>
  <c r="M20" i="5"/>
  <c r="P20" i="5" s="1"/>
  <c r="S20" i="5" s="1"/>
  <c r="L20" i="5"/>
  <c r="O20" i="5" s="1"/>
  <c r="R20" i="5" s="1"/>
  <c r="P19" i="5"/>
  <c r="S19" i="5" s="1"/>
  <c r="O19" i="5"/>
  <c r="R19" i="5" s="1"/>
  <c r="N19" i="5"/>
  <c r="Q19" i="5" s="1"/>
  <c r="T19" i="5" s="1"/>
  <c r="M19" i="5"/>
  <c r="L19" i="5"/>
  <c r="N18" i="5"/>
  <c r="Q18" i="5" s="1"/>
  <c r="T18" i="5" s="1"/>
  <c r="M18" i="5"/>
  <c r="P18" i="5" s="1"/>
  <c r="S18" i="5" s="1"/>
  <c r="L18" i="5"/>
  <c r="O18" i="5" s="1"/>
  <c r="R18" i="5" s="1"/>
  <c r="N17" i="5"/>
  <c r="Q17" i="5" s="1"/>
  <c r="T17" i="5" s="1"/>
  <c r="M17" i="5"/>
  <c r="P17" i="5" s="1"/>
  <c r="S17" i="5" s="1"/>
  <c r="L17" i="5"/>
  <c r="O17" i="5" s="1"/>
  <c r="R17" i="5" s="1"/>
  <c r="N16" i="5"/>
  <c r="Q16" i="5" s="1"/>
  <c r="T16" i="5" s="1"/>
  <c r="M16" i="5"/>
  <c r="P16" i="5" s="1"/>
  <c r="S16" i="5" s="1"/>
  <c r="L16" i="5"/>
  <c r="O16" i="5" s="1"/>
  <c r="R16" i="5" s="1"/>
  <c r="N15" i="5"/>
  <c r="Q15" i="5" s="1"/>
  <c r="T15" i="5" s="1"/>
  <c r="M15" i="5"/>
  <c r="P15" i="5" s="1"/>
  <c r="S15" i="5" s="1"/>
  <c r="L15" i="5"/>
  <c r="O15" i="5" s="1"/>
  <c r="R15" i="5" s="1"/>
  <c r="N14" i="5"/>
  <c r="Q14" i="5" s="1"/>
  <c r="T14" i="5" s="1"/>
  <c r="M14" i="5"/>
  <c r="P14" i="5" s="1"/>
  <c r="S14" i="5" s="1"/>
  <c r="L14" i="5"/>
  <c r="O14" i="5" s="1"/>
  <c r="R14" i="5" s="1"/>
  <c r="N13" i="5"/>
  <c r="Q13" i="5" s="1"/>
  <c r="T13" i="5" s="1"/>
  <c r="M13" i="5"/>
  <c r="P13" i="5" s="1"/>
  <c r="S13" i="5" s="1"/>
  <c r="L13" i="5"/>
  <c r="O13" i="5" s="1"/>
  <c r="R13" i="5" s="1"/>
  <c r="N12" i="5"/>
  <c r="Q12" i="5" s="1"/>
  <c r="T12" i="5" s="1"/>
  <c r="M12" i="5"/>
  <c r="P12" i="5" s="1"/>
  <c r="S12" i="5" s="1"/>
  <c r="L12" i="5"/>
  <c r="O12" i="5" s="1"/>
  <c r="R12" i="5" s="1"/>
  <c r="N11" i="5"/>
  <c r="Q11" i="5" s="1"/>
  <c r="T11" i="5" s="1"/>
  <c r="M11" i="5"/>
  <c r="P11" i="5" s="1"/>
  <c r="S11" i="5" s="1"/>
  <c r="L11" i="5"/>
  <c r="O11" i="5" s="1"/>
  <c r="R11" i="5" s="1"/>
  <c r="N10" i="5"/>
  <c r="Q10" i="5" s="1"/>
  <c r="T10" i="5" s="1"/>
  <c r="M10" i="5"/>
  <c r="P10" i="5" s="1"/>
  <c r="S10" i="5" s="1"/>
  <c r="H10" i="5"/>
  <c r="L10" i="5" s="1"/>
  <c r="O10" i="5" s="1"/>
  <c r="R10" i="5" s="1"/>
  <c r="N9" i="5"/>
  <c r="Q9" i="5" s="1"/>
  <c r="T9" i="5" s="1"/>
  <c r="M9" i="5"/>
  <c r="P9" i="5" s="1"/>
  <c r="S9" i="5" s="1"/>
  <c r="H9" i="5"/>
  <c r="L9" i="5" s="1"/>
  <c r="O9" i="5" s="1"/>
  <c r="R9" i="5" s="1"/>
  <c r="J7" i="5"/>
  <c r="N7" i="5" s="1"/>
  <c r="Q7" i="5" s="1"/>
  <c r="T7" i="5" s="1"/>
  <c r="M7" i="5"/>
  <c r="P7" i="5" s="1"/>
  <c r="S7" i="5" s="1"/>
  <c r="H7" i="5"/>
  <c r="L7" i="5" s="1"/>
  <c r="O7" i="5" s="1"/>
  <c r="R7" i="5" s="1"/>
  <c r="J8" i="5"/>
  <c r="N8" i="5" s="1"/>
  <c r="Q8" i="5" s="1"/>
  <c r="T8" i="5" s="1"/>
  <c r="M8" i="5"/>
  <c r="P8" i="5" s="1"/>
  <c r="S8" i="5" s="1"/>
  <c r="H8" i="5"/>
  <c r="L8" i="5" s="1"/>
  <c r="O8" i="5" s="1"/>
  <c r="R8" i="5" s="1"/>
  <c r="N2" i="5"/>
  <c r="N1" i="5"/>
  <c r="M24" i="2" l="1"/>
  <c r="P24" i="2" s="1"/>
  <c r="S24" i="2" s="1"/>
  <c r="O25" i="2"/>
  <c r="R25" i="2" s="1"/>
  <c r="O24" i="2"/>
  <c r="R24" i="2" s="1"/>
  <c r="N27" i="2"/>
  <c r="Q27" i="2" s="1"/>
  <c r="T27" i="2" s="1"/>
  <c r="M27" i="2"/>
  <c r="P27" i="2" s="1"/>
  <c r="S27" i="2" s="1"/>
  <c r="O27" i="2"/>
  <c r="R27" i="2" s="1"/>
  <c r="N26" i="2"/>
  <c r="Q26" i="2" s="1"/>
  <c r="T26" i="2" s="1"/>
  <c r="M26" i="2"/>
  <c r="P26" i="2" s="1"/>
  <c r="S26" i="2" s="1"/>
  <c r="O26" i="2"/>
  <c r="R26" i="2" s="1"/>
  <c r="N25" i="2"/>
  <c r="Q25" i="2" s="1"/>
  <c r="T25" i="2" s="1"/>
  <c r="M25" i="2"/>
  <c r="P25" i="2" s="1"/>
  <c r="S25" i="2" s="1"/>
  <c r="N24" i="2"/>
  <c r="Q24" i="2" s="1"/>
  <c r="T24" i="2" s="1"/>
  <c r="O23" i="2" l="1"/>
  <c r="R23" i="2" s="1"/>
  <c r="O22" i="2"/>
  <c r="R22" i="2" s="1"/>
  <c r="O20" i="2"/>
  <c r="R20" i="2" s="1"/>
  <c r="O19" i="2"/>
  <c r="R19" i="2" s="1"/>
  <c r="O18" i="2"/>
  <c r="R18" i="2" s="1"/>
  <c r="O17" i="2"/>
  <c r="R17" i="2" s="1"/>
  <c r="O16" i="2"/>
  <c r="R16" i="2" s="1"/>
  <c r="N23" i="2"/>
  <c r="Q23" i="2" s="1"/>
  <c r="T23" i="2" s="1"/>
  <c r="M23" i="2"/>
  <c r="P23" i="2" s="1"/>
  <c r="S23" i="2" s="1"/>
  <c r="N22" i="2"/>
  <c r="Q22" i="2" s="1"/>
  <c r="T22" i="2" s="1"/>
  <c r="M22" i="2"/>
  <c r="P22" i="2" s="1"/>
  <c r="S22" i="2" s="1"/>
  <c r="N21" i="2"/>
  <c r="Q21" i="2" s="1"/>
  <c r="T21" i="2" s="1"/>
  <c r="M21" i="2"/>
  <c r="P21" i="2" s="1"/>
  <c r="S21" i="2" s="1"/>
  <c r="O21" i="2"/>
  <c r="R21" i="2" s="1"/>
  <c r="N20" i="2"/>
  <c r="Q20" i="2" s="1"/>
  <c r="T20" i="2" s="1"/>
  <c r="M20" i="2"/>
  <c r="P20" i="2" s="1"/>
  <c r="S20" i="2" s="1"/>
  <c r="N19" i="2"/>
  <c r="Q19" i="2" s="1"/>
  <c r="T19" i="2" s="1"/>
  <c r="M19" i="2"/>
  <c r="P19" i="2" s="1"/>
  <c r="S19" i="2" s="1"/>
  <c r="Q18" i="2"/>
  <c r="T18" i="2" s="1"/>
  <c r="M18" i="2"/>
  <c r="P18" i="2" s="1"/>
  <c r="S18" i="2" s="1"/>
  <c r="Q17" i="2"/>
  <c r="T17" i="2" s="1"/>
  <c r="M17" i="2"/>
  <c r="S17" i="2" s="1"/>
  <c r="T16" i="2"/>
  <c r="M16" i="2"/>
  <c r="P16" i="2" s="1"/>
  <c r="S16" i="2" s="1"/>
  <c r="Q15" i="2"/>
  <c r="T15" i="2" s="1"/>
  <c r="P15" i="2"/>
  <c r="S15" i="2" s="1"/>
  <c r="O15" i="2" l="1"/>
  <c r="R15" i="2" s="1"/>
  <c r="Q14" i="2" l="1"/>
  <c r="T14" i="2" s="1"/>
  <c r="Q13" i="2"/>
  <c r="T13" i="2" s="1"/>
  <c r="Q12" i="2"/>
  <c r="T12" i="2" s="1"/>
  <c r="Q11" i="2"/>
  <c r="T11" i="2" s="1"/>
  <c r="Q10" i="2"/>
  <c r="T10" i="2" s="1"/>
  <c r="Q9" i="2"/>
  <c r="T9" i="2" s="1"/>
  <c r="P13" i="2"/>
  <c r="S13" i="2" s="1"/>
  <c r="P11" i="2"/>
  <c r="S11" i="2" s="1"/>
  <c r="P10" i="2"/>
  <c r="S10" i="2" s="1"/>
  <c r="P12" i="2"/>
  <c r="S12" i="2" s="1"/>
  <c r="N2" i="2"/>
  <c r="N1" i="2"/>
  <c r="H60" i="4"/>
  <c r="G87" i="4"/>
  <c r="G85" i="4"/>
  <c r="G83" i="4"/>
  <c r="G81" i="4"/>
  <c r="G79" i="4"/>
  <c r="F49" i="4"/>
  <c r="F48" i="4" s="1"/>
  <c r="H45" i="4"/>
  <c r="C45" i="4"/>
  <c r="H44" i="4"/>
  <c r="C44" i="4"/>
  <c r="H43" i="4"/>
  <c r="C43" i="4"/>
  <c r="H42" i="4"/>
  <c r="C42" i="4"/>
  <c r="F50" i="4" s="1"/>
  <c r="L61" i="4" s="1"/>
  <c r="M61" i="4" s="1"/>
  <c r="H27" i="4"/>
  <c r="C27" i="4"/>
  <c r="H26" i="4"/>
  <c r="C26" i="4"/>
  <c r="H25" i="4"/>
  <c r="C25" i="4"/>
  <c r="H24" i="4"/>
  <c r="C24" i="4"/>
  <c r="F32" i="4" s="1"/>
  <c r="H9" i="4"/>
  <c r="C9" i="4"/>
  <c r="H8" i="4"/>
  <c r="C8" i="4"/>
  <c r="F15" i="4" s="1"/>
  <c r="F13" i="4" s="1"/>
  <c r="H7" i="4"/>
  <c r="C7" i="4"/>
  <c r="H6" i="4"/>
  <c r="C6" i="4"/>
  <c r="F16" i="4" s="1"/>
  <c r="H63" i="4" s="1"/>
  <c r="I63" i="4" s="1"/>
  <c r="O14" i="2" l="1"/>
  <c r="R14" i="2" s="1"/>
  <c r="F31" i="4"/>
  <c r="F30" i="4" s="1"/>
  <c r="L60" i="4"/>
  <c r="M60" i="4" s="1"/>
  <c r="H62" i="4"/>
  <c r="I62" i="4" s="1"/>
  <c r="J63" i="4"/>
  <c r="K63" i="4" s="1"/>
  <c r="I73" i="4" s="1"/>
  <c r="L73" i="4" s="1"/>
  <c r="M73" i="4" s="1"/>
  <c r="L64" i="4"/>
  <c r="M64" i="4" s="1"/>
  <c r="H61" i="4"/>
  <c r="I61" i="4" s="1"/>
  <c r="J62" i="4"/>
  <c r="K62" i="4" s="1"/>
  <c r="I72" i="4" s="1"/>
  <c r="L72" i="4" s="1"/>
  <c r="M72" i="4" s="1"/>
  <c r="L63" i="4"/>
  <c r="M63" i="4" s="1"/>
  <c r="I60" i="4"/>
  <c r="L62" i="4"/>
  <c r="M62" i="4" s="1"/>
  <c r="H64" i="4"/>
  <c r="I64" i="4" s="1"/>
  <c r="J61" i="4" l="1"/>
  <c r="K61" i="4" s="1"/>
  <c r="I71" i="4" s="1"/>
  <c r="L71" i="4" s="1"/>
  <c r="M71" i="4" s="1"/>
  <c r="J64" i="4"/>
  <c r="K64" i="4" s="1"/>
  <c r="I74" i="4" s="1"/>
  <c r="L74" i="4" s="1"/>
  <c r="M74" i="4" s="1"/>
  <c r="H13" i="2" l="1"/>
  <c r="H12" i="2"/>
  <c r="I9" i="2"/>
  <c r="H9" i="2"/>
  <c r="J8" i="2"/>
  <c r="I8" i="2"/>
  <c r="H8" i="2"/>
  <c r="J7" i="2"/>
  <c r="H7" i="2"/>
  <c r="I7" i="2"/>
  <c r="T8" i="2" l="1"/>
  <c r="R8" i="2"/>
  <c r="M8" i="2"/>
  <c r="O9" i="2"/>
  <c r="R9" i="2" s="1"/>
  <c r="P9" i="2"/>
  <c r="S9" i="2" s="1"/>
  <c r="O11" i="2"/>
  <c r="R11" i="2" s="1"/>
  <c r="O7" i="2"/>
  <c r="R7" i="2" s="1"/>
  <c r="L36" i="7" s="1"/>
  <c r="O12" i="2"/>
  <c r="R12" i="2" s="1"/>
  <c r="N7" i="2"/>
  <c r="Q7" i="2" s="1"/>
  <c r="T7" i="2" s="1"/>
  <c r="O13" i="2"/>
  <c r="R13" i="2" s="1"/>
  <c r="P8" i="2" l="1"/>
  <c r="S8" i="2" s="1"/>
  <c r="N62" i="2"/>
  <c r="N57" i="5"/>
</calcChain>
</file>

<file path=xl/sharedStrings.xml><?xml version="1.0" encoding="utf-8"?>
<sst xmlns="http://schemas.openxmlformats.org/spreadsheetml/2006/main" count="575" uniqueCount="235">
  <si>
    <t>Sample ID</t>
  </si>
  <si>
    <t>Legionella Test</t>
  </si>
  <si>
    <t>E.Coli Test</t>
  </si>
  <si>
    <t>GS 001</t>
  </si>
  <si>
    <t>Yes</t>
  </si>
  <si>
    <t>No</t>
  </si>
  <si>
    <t>GS 002</t>
  </si>
  <si>
    <t>Matrix</t>
  </si>
  <si>
    <t>GS 003</t>
  </si>
  <si>
    <t>Koi Pond</t>
  </si>
  <si>
    <t>GS 004</t>
  </si>
  <si>
    <t>NC (MiliQ)</t>
  </si>
  <si>
    <t>GS 005</t>
  </si>
  <si>
    <t>GS 006</t>
  </si>
  <si>
    <t xml:space="preserve">Spiked in E.coli in NC(MiliQ) </t>
  </si>
  <si>
    <t>GS 007</t>
  </si>
  <si>
    <t>Sample submission form</t>
  </si>
  <si>
    <t>Colletection Date</t>
  </si>
  <si>
    <t>Sample pick-up Date</t>
  </si>
  <si>
    <t>Quotation number</t>
  </si>
  <si>
    <t>US9PAP220249-01</t>
  </si>
  <si>
    <t>ID Discription</t>
  </si>
  <si>
    <t>Water Features</t>
  </si>
  <si>
    <t>Pond</t>
  </si>
  <si>
    <t xml:space="preserve">Drinking water </t>
  </si>
  <si>
    <t>Ccooling tower</t>
  </si>
  <si>
    <t>Cooling tower</t>
  </si>
  <si>
    <t>L8 TapWater (Female)</t>
  </si>
  <si>
    <t>L7 Shower (Female)</t>
  </si>
  <si>
    <t>Water dispenser L7 (new)</t>
  </si>
  <si>
    <t>Pre cleaning</t>
  </si>
  <si>
    <t>Eurofin Data</t>
  </si>
  <si>
    <t>GIS Data</t>
  </si>
  <si>
    <t>Post cleaning</t>
  </si>
  <si>
    <t>Sample Description</t>
  </si>
  <si>
    <r>
      <t>Result (</t>
    </r>
    <r>
      <rPr>
        <b/>
        <i/>
        <sz val="11"/>
        <color rgb="FF000000"/>
        <rFont val="Calibri"/>
        <family val="2"/>
      </rPr>
      <t>Legionella</t>
    </r>
  </si>
  <si>
    <r>
      <t>pneumophila 1</t>
    </r>
    <r>
      <rPr>
        <b/>
        <sz val="11"/>
        <color rgb="FF000000"/>
        <rFont val="Calibri"/>
        <family val="2"/>
      </rPr>
      <t>)</t>
    </r>
  </si>
  <si>
    <r>
      <t>Result (</t>
    </r>
    <r>
      <rPr>
        <b/>
        <i/>
        <sz val="11"/>
        <color rgb="FFC00000"/>
        <rFont val="Calibri"/>
        <family val="2"/>
      </rPr>
      <t>Legionella</t>
    </r>
  </si>
  <si>
    <r>
      <t>pneumophila 1</t>
    </r>
    <r>
      <rPr>
        <b/>
        <sz val="11"/>
        <color rgb="FFC00000"/>
        <rFont val="Calibri"/>
        <family val="2"/>
      </rPr>
      <t>)</t>
    </r>
  </si>
  <si>
    <r>
      <t>pneumophila 2-15</t>
    </r>
    <r>
      <rPr>
        <b/>
        <sz val="11"/>
        <color rgb="FFC00000"/>
        <rFont val="Calibri"/>
        <family val="2"/>
      </rPr>
      <t>)</t>
    </r>
  </si>
  <si>
    <t>LEVEL 30E MAIN KITCHEN - EQUIPMENT STORE</t>
  </si>
  <si>
    <t>NA</t>
  </si>
  <si>
    <t>LEVEL 30E MAIN KITCHEN - PROD WASH AREA-1</t>
  </si>
  <si>
    <t>LEVEL 30E MAIN KITCHEN - PROD WASH AREA-2</t>
  </si>
  <si>
    <t>LEVEL 30E MAIN KITCHEN - PROD WASH AREA-3</t>
  </si>
  <si>
    <t>&lt;1</t>
  </si>
  <si>
    <t>LEVEL 30E MAIN KITCHEN - MAIN KITCHEN COUNTER-1</t>
  </si>
  <si>
    <t>LEVEL 30E MAIN KITCHEN - MAIN KITCHEN COUNTER-2</t>
  </si>
  <si>
    <t>LEVEL 30E MAIN KITCHEN - MAIN KITCHEN STOVE-1</t>
  </si>
  <si>
    <t>LEVEL 30E MAIN KITCHEN - MAIN KITCHEN STOVE-2</t>
  </si>
  <si>
    <t>&lt;0.01</t>
  </si>
  <si>
    <t>LEVEL 30E MAIN KITCHEN - PASTRY AREA-1</t>
  </si>
  <si>
    <t>LEVEL 30E MAIN KITCHEN - PASTRY AREA-2</t>
  </si>
  <si>
    <t>LEVEL 30E MAIN KITCHEN - MAIN KITCHEN NEAR CHILLER-1</t>
  </si>
  <si>
    <t>LEVEL 30E MAIN KITCHEN - MAIN KITCHEN NEAR CHILLER-2</t>
  </si>
  <si>
    <t>LEVEL 30E MAIN KITCHEN - MAIN KITCHEN POINT</t>
  </si>
  <si>
    <t>LEVEL 30E MAIN KITCHEN - DISH WASH AREA-1</t>
  </si>
  <si>
    <t>-</t>
  </si>
  <si>
    <t>LEVEL 30E MICRO KITCHEN - MICRO KITCHEN SINK</t>
  </si>
  <si>
    <t>LEVEL 30E MOTHERS ROOM - MOTHERS ROOM</t>
  </si>
  <si>
    <t>LEVEL 30E BEVERAGE COUNTER - BEVERAGE COUNTER (ICE DISPENSER)</t>
  </si>
  <si>
    <t>LEVEL 30E TOILET - SHOWER ROOM (MALE TOILET)</t>
  </si>
  <si>
    <t>LEVEL 18W MICRO KITCHEN - MICRO KITCHEN</t>
  </si>
  <si>
    <t>LEVEL 29E MOTHERS ROOM - MOTHERS ROOM</t>
  </si>
  <si>
    <t xml:space="preserve">Passed Tap </t>
  </si>
  <si>
    <t xml:space="preserve">Failed Tap </t>
  </si>
  <si>
    <t xml:space="preserve">Building Toilet </t>
  </si>
  <si>
    <t>Water tank (Unknown)</t>
  </si>
  <si>
    <t>CFU/mL</t>
  </si>
  <si>
    <t>Total Legionella</t>
  </si>
  <si>
    <t>ISO 11731:2017</t>
  </si>
  <si>
    <t>EZ0EG Test</t>
  </si>
  <si>
    <t>&lt;0.4</t>
  </si>
  <si>
    <t>EZ431</t>
  </si>
  <si>
    <t>Escherichia coli Count</t>
  </si>
  <si>
    <t>APHA 9222 B &amp; H</t>
  </si>
  <si>
    <t>CFU/100mL</t>
  </si>
  <si>
    <t>Remark</t>
  </si>
  <si>
    <r>
      <t>Result (</t>
    </r>
    <r>
      <rPr>
        <i/>
        <sz val="11"/>
        <color theme="7" tint="-0.499984740745262"/>
        <rFont val="Calibri"/>
        <family val="2"/>
      </rPr>
      <t>Legionella species)</t>
    </r>
  </si>
  <si>
    <r>
      <rPr>
        <b/>
        <i/>
        <sz val="11"/>
        <color theme="7" tint="-0.499984740745262"/>
        <rFont val="Calibri"/>
        <family val="2"/>
      </rPr>
      <t xml:space="preserve">Hex </t>
    </r>
    <r>
      <rPr>
        <i/>
        <sz val="11"/>
        <color theme="7" tint="-0.499984740745262"/>
        <rFont val="Calibri"/>
        <family val="2"/>
      </rPr>
      <t>ct value</t>
    </r>
  </si>
  <si>
    <r>
      <t>Result (</t>
    </r>
    <r>
      <rPr>
        <i/>
        <sz val="11"/>
        <color theme="8" tint="-0.499984740745262"/>
        <rFont val="Calibri"/>
        <family val="2"/>
      </rPr>
      <t>Legionella pneumophila 2-15)</t>
    </r>
  </si>
  <si>
    <r>
      <rPr>
        <b/>
        <i/>
        <sz val="11"/>
        <color theme="8" tint="-0.499984740745262"/>
        <rFont val="Calibri"/>
        <family val="2"/>
      </rPr>
      <t>FAM c</t>
    </r>
    <r>
      <rPr>
        <i/>
        <sz val="11"/>
        <color theme="8" tint="-0.499984740745262"/>
        <rFont val="Calibri"/>
        <family val="2"/>
      </rPr>
      <t>t value</t>
    </r>
  </si>
  <si>
    <t>N/A</t>
  </si>
  <si>
    <r>
      <t>Result (</t>
    </r>
    <r>
      <rPr>
        <i/>
        <sz val="11"/>
        <color rgb="FFC00000"/>
        <rFont val="Calibri"/>
        <family val="2"/>
      </rPr>
      <t>Legionella pneumophila 1)</t>
    </r>
  </si>
  <si>
    <r>
      <rPr>
        <b/>
        <i/>
        <sz val="11"/>
        <color rgb="FFC00000"/>
        <rFont val="Calibri"/>
        <family val="2"/>
      </rPr>
      <t>TexasRed         (</t>
    </r>
    <r>
      <rPr>
        <i/>
        <sz val="11"/>
        <color rgb="FFC00000"/>
        <rFont val="Calibri"/>
        <family val="2"/>
      </rPr>
      <t>ct value)</t>
    </r>
  </si>
  <si>
    <t xml:space="preserve">Serogroup 1 </t>
  </si>
  <si>
    <t>16s - All Legionella</t>
  </si>
  <si>
    <t>Standard HEX Ct value</t>
  </si>
  <si>
    <t>Sample con.</t>
  </si>
  <si>
    <t>Concentration
( Copies/ul)</t>
  </si>
  <si>
    <t>Log10 Copies/ul</t>
  </si>
  <si>
    <t>R1</t>
  </si>
  <si>
    <t>R2</t>
  </si>
  <si>
    <t>R3</t>
  </si>
  <si>
    <t>Mean value</t>
  </si>
  <si>
    <t>Mean value (ct)</t>
  </si>
  <si>
    <r>
      <rPr>
        <b/>
        <sz val="10"/>
        <color rgb="FF272827"/>
        <rFont val="Arial"/>
        <family val="2"/>
      </rPr>
      <t>Amplification Efficiency</t>
    </r>
    <r>
      <rPr>
        <sz val="10"/>
        <color rgb="FF272827"/>
        <rFont val="Arial"/>
        <family val="2"/>
      </rPr>
      <t xml:space="preserve"> = 10^(-1/slope) - 1</t>
    </r>
  </si>
  <si>
    <t>linear regr.:</t>
  </si>
  <si>
    <t>k</t>
  </si>
  <si>
    <t>d</t>
  </si>
  <si>
    <t>y = kx + d</t>
  </si>
  <si>
    <t xml:space="preserve">mipT1 - Serogroup 1-15 </t>
  </si>
  <si>
    <t>Standard FAM Ct value</t>
  </si>
  <si>
    <t>Concentration
(Copies/ul)</t>
  </si>
  <si>
    <t>Conc. (Copies/ul)</t>
  </si>
  <si>
    <t>Ct</t>
  </si>
  <si>
    <t>Amplification Efficiency = 10^(-1/slope) - 1</t>
  </si>
  <si>
    <t>WZM - Serogroup 1</t>
  </si>
  <si>
    <t>Standard TexasRed Ct value</t>
  </si>
  <si>
    <t>Unknown Samples Concentration</t>
  </si>
  <si>
    <t>Sample</t>
  </si>
  <si>
    <t>Ct value
HEX</t>
  </si>
  <si>
    <t>Ct value
 FAM</t>
  </si>
  <si>
    <t>Ct value 
TxRed</t>
  </si>
  <si>
    <t>Log10(conc.)
HEX</t>
  </si>
  <si>
    <t>Concentration
HEX (cop/ul)</t>
  </si>
  <si>
    <t>Log10(conc.)
FAM</t>
  </si>
  <si>
    <t>Concentration FAM (cop/ul)</t>
  </si>
  <si>
    <t>Log10(conc.)
TxRed</t>
  </si>
  <si>
    <t>Concentration
TxRed (cop/ul)</t>
  </si>
  <si>
    <t xml:space="preserve">Water Tank </t>
  </si>
  <si>
    <t>Detected Value</t>
  </si>
  <si>
    <t>Quantified Value</t>
  </si>
  <si>
    <t>Ct value
All Legionella</t>
  </si>
  <si>
    <t>Ct value
 Sg 1-15</t>
  </si>
  <si>
    <t>Ct value 
Sg 1</t>
  </si>
  <si>
    <t>Total copies of Legionella 1-15 in 1mL</t>
  </si>
  <si>
    <t>Total copies of Legionella 2-15 in 1mL</t>
  </si>
  <si>
    <t>Remarks based off acceptance criteria</t>
  </si>
  <si>
    <t>HEX</t>
  </si>
  <si>
    <t>FAM</t>
  </si>
  <si>
    <t>Texas Red</t>
  </si>
  <si>
    <t>3plex-HW1</t>
  </si>
  <si>
    <t>3plex-HW2</t>
  </si>
  <si>
    <t>3plex-HW3</t>
  </si>
  <si>
    <t>3plex-HW4</t>
  </si>
  <si>
    <t>3plex-WB</t>
  </si>
  <si>
    <t>3plex-NC</t>
  </si>
  <si>
    <r>
      <t>(</t>
    </r>
    <r>
      <rPr>
        <i/>
        <sz val="11"/>
        <color theme="7" tint="-0.499984740745262"/>
        <rFont val="Calibri"/>
        <family val="2"/>
      </rPr>
      <t>Legionella species)</t>
    </r>
  </si>
  <si>
    <r>
      <t>(</t>
    </r>
    <r>
      <rPr>
        <i/>
        <sz val="11"/>
        <color theme="8" tint="-0.499984740745262"/>
        <rFont val="Calibri"/>
        <family val="2"/>
      </rPr>
      <t>Legionella pneumophila 2-15)</t>
    </r>
  </si>
  <si>
    <r>
      <t>(</t>
    </r>
    <r>
      <rPr>
        <i/>
        <sz val="11"/>
        <color rgb="FFC00000"/>
        <rFont val="Calibri"/>
        <family val="2"/>
      </rPr>
      <t>Legionella pneumophila 1)</t>
    </r>
  </si>
  <si>
    <r>
      <t>(</t>
    </r>
    <r>
      <rPr>
        <b/>
        <i/>
        <sz val="11"/>
        <rFont val="Calibri"/>
        <family val="2"/>
      </rPr>
      <t>Legionella species)</t>
    </r>
  </si>
  <si>
    <r>
      <t>(</t>
    </r>
    <r>
      <rPr>
        <b/>
        <i/>
        <sz val="11"/>
        <rFont val="Calibri"/>
        <family val="2"/>
      </rPr>
      <t>Legionella pneumophila 2-15)</t>
    </r>
  </si>
  <si>
    <r>
      <t>(</t>
    </r>
    <r>
      <rPr>
        <b/>
        <i/>
        <sz val="11"/>
        <rFont val="Calibri"/>
        <family val="2"/>
      </rPr>
      <t>Legionella pneumophila 1)</t>
    </r>
  </si>
  <si>
    <t>Total copies of Legionella genomicDNA            per mL (copy/mL)</t>
  </si>
  <si>
    <t>Total count calculation (copy per uL) based on standards</t>
  </si>
  <si>
    <t xml:space="preserve"> qPCR Data</t>
  </si>
  <si>
    <t>Final Concentration (Copy/mL )</t>
  </si>
  <si>
    <t>Check Out These Column</t>
  </si>
  <si>
    <t>04Oct2022; 20221005R1</t>
  </si>
  <si>
    <t>300mL</t>
  </si>
  <si>
    <t>level 7 (E lysis) ctrl</t>
  </si>
  <si>
    <t>level 7 (E lysis) PMA</t>
  </si>
  <si>
    <t>level 7 (E lysis) PMA + Enhancer</t>
  </si>
  <si>
    <t>level 8 (E lysis) ctrl</t>
  </si>
  <si>
    <t>level 8 (E lysis) PMA</t>
  </si>
  <si>
    <t>level 8 (E lysis) PMA + Enhancer</t>
  </si>
  <si>
    <t>level 8 (LB) ctrl</t>
  </si>
  <si>
    <t>level 8 (LB) PMA</t>
  </si>
  <si>
    <t>level 8 (LB) PMA + Enhancer</t>
  </si>
  <si>
    <t>Yan</t>
  </si>
  <si>
    <t>GIS</t>
  </si>
  <si>
    <t>GIS 002</t>
  </si>
  <si>
    <t>Level 7 (E lysis) Ctrl</t>
  </si>
  <si>
    <t>Level 7 (E lysis) PMA</t>
  </si>
  <si>
    <t>Level 7 (E lysis) PMA+Enhancer</t>
  </si>
  <si>
    <r>
      <t xml:space="preserve">Level 7 </t>
    </r>
    <r>
      <rPr>
        <b/>
        <sz val="11"/>
        <color theme="1"/>
        <rFont val="Calibri"/>
        <family val="2"/>
        <scheme val="minor"/>
      </rPr>
      <t xml:space="preserve">Dead </t>
    </r>
    <r>
      <rPr>
        <sz val="11"/>
        <color theme="1"/>
        <rFont val="Calibri"/>
        <family val="2"/>
        <scheme val="minor"/>
      </rPr>
      <t>(E lysis) Ctrl</t>
    </r>
  </si>
  <si>
    <r>
      <t xml:space="preserve">Level 7 </t>
    </r>
    <r>
      <rPr>
        <b/>
        <sz val="11"/>
        <color theme="1"/>
        <rFont val="Calibri"/>
        <family val="2"/>
        <scheme val="minor"/>
      </rPr>
      <t>Dead</t>
    </r>
    <r>
      <rPr>
        <sz val="11"/>
        <color theme="1"/>
        <rFont val="Calibri"/>
        <family val="2"/>
        <scheme val="minor"/>
      </rPr>
      <t xml:space="preserve"> (E lysis) PMA</t>
    </r>
  </si>
  <si>
    <r>
      <t xml:space="preserve">Level 7 </t>
    </r>
    <r>
      <rPr>
        <b/>
        <sz val="11"/>
        <color theme="1"/>
        <rFont val="Calibri"/>
        <family val="2"/>
        <scheme val="minor"/>
      </rPr>
      <t>Dead</t>
    </r>
    <r>
      <rPr>
        <sz val="11"/>
        <color theme="1"/>
        <rFont val="Calibri"/>
        <family val="2"/>
        <scheme val="minor"/>
      </rPr>
      <t xml:space="preserve"> (E lysis) PMA+Enhancer</t>
    </r>
  </si>
  <si>
    <t>Level 7 (LB) Ctrl</t>
  </si>
  <si>
    <t>Level 7 (LB) PMA</t>
  </si>
  <si>
    <t>Level 7 (LB) PMA+Enhancer</t>
  </si>
  <si>
    <r>
      <t xml:space="preserve">Level 7 </t>
    </r>
    <r>
      <rPr>
        <b/>
        <sz val="11"/>
        <color theme="1"/>
        <rFont val="Calibri"/>
        <family val="2"/>
        <scheme val="minor"/>
      </rPr>
      <t xml:space="preserve">Dead </t>
    </r>
    <r>
      <rPr>
        <sz val="11"/>
        <color theme="1"/>
        <rFont val="Calibri"/>
        <family val="2"/>
        <scheme val="minor"/>
      </rPr>
      <t>(LB) Ctrl</t>
    </r>
  </si>
  <si>
    <r>
      <t xml:space="preserve">Level 7 </t>
    </r>
    <r>
      <rPr>
        <b/>
        <sz val="11"/>
        <color theme="1"/>
        <rFont val="Calibri"/>
        <family val="2"/>
        <scheme val="minor"/>
      </rPr>
      <t>Dead</t>
    </r>
    <r>
      <rPr>
        <sz val="11"/>
        <color theme="1"/>
        <rFont val="Calibri"/>
        <family val="2"/>
        <scheme val="minor"/>
      </rPr>
      <t xml:space="preserve"> (LB) PMA</t>
    </r>
  </si>
  <si>
    <r>
      <t xml:space="preserve">Level 7 </t>
    </r>
    <r>
      <rPr>
        <b/>
        <sz val="11"/>
        <color theme="1"/>
        <rFont val="Calibri"/>
        <family val="2"/>
        <scheme val="minor"/>
      </rPr>
      <t>Dead</t>
    </r>
    <r>
      <rPr>
        <sz val="11"/>
        <color theme="1"/>
        <rFont val="Calibri"/>
        <family val="2"/>
        <scheme val="minor"/>
      </rPr>
      <t xml:space="preserve"> (LB) PMA+Enhancer</t>
    </r>
  </si>
  <si>
    <t>8 (Ref)</t>
  </si>
  <si>
    <t>16 (Ref)</t>
  </si>
  <si>
    <t>TR(1/2)</t>
  </si>
  <si>
    <t>FTR(1/2)</t>
  </si>
  <si>
    <t>(1/2)</t>
  </si>
  <si>
    <t>Internal-Legionella Count</t>
  </si>
  <si>
    <t>Reduced Legionella Count</t>
  </si>
  <si>
    <t>Ecoli Count</t>
  </si>
  <si>
    <t>Standard (Ec 078 1000x)</t>
  </si>
  <si>
    <r>
      <rPr>
        <b/>
        <i/>
        <sz val="11"/>
        <color theme="7" tint="-0.499984740745262"/>
        <rFont val="Calibri"/>
        <family val="2"/>
      </rPr>
      <t>Fam</t>
    </r>
    <r>
      <rPr>
        <i/>
        <sz val="11"/>
        <color theme="7" tint="-0.499984740745262"/>
        <rFont val="Calibri"/>
        <family val="2"/>
      </rPr>
      <t>ct value</t>
    </r>
  </si>
  <si>
    <t>Log10(conc.)
Fam</t>
  </si>
  <si>
    <t>Concentration
Fam (cop/ul)</t>
  </si>
  <si>
    <r>
      <t>(</t>
    </r>
    <r>
      <rPr>
        <b/>
        <i/>
        <sz val="11"/>
        <rFont val="Calibri"/>
        <family val="2"/>
      </rPr>
      <t>Ec species)</t>
    </r>
  </si>
  <si>
    <t>Total copies of Ec genomicDNA            per mL (copy/mL)</t>
  </si>
  <si>
    <r>
      <t>(</t>
    </r>
    <r>
      <rPr>
        <i/>
        <sz val="11"/>
        <color theme="7" tint="-0.499984740745262"/>
        <rFont val="Calibri"/>
        <family val="2"/>
      </rPr>
      <t>DH5a)</t>
    </r>
  </si>
  <si>
    <t>qPCR</t>
  </si>
  <si>
    <t>dPCR</t>
  </si>
  <si>
    <t>UidA (All Ecoli)</t>
  </si>
  <si>
    <t>Mean                         (ct value)</t>
  </si>
  <si>
    <t>Standards</t>
  </si>
  <si>
    <t>S1</t>
  </si>
  <si>
    <t>S2</t>
  </si>
  <si>
    <t>S3</t>
  </si>
  <si>
    <t>S4</t>
  </si>
  <si>
    <t>Extracted E.coli (078)</t>
  </si>
  <si>
    <t>Live Elysis PMA</t>
  </si>
  <si>
    <t>Live Elysis Control</t>
  </si>
  <si>
    <t>Live Elysis PMA + Enhancer</t>
  </si>
  <si>
    <t>Live LB control</t>
  </si>
  <si>
    <t>Live LB PMA</t>
  </si>
  <si>
    <t>Live LBPMA + Enhancer</t>
  </si>
  <si>
    <t>Standard (Ec 078 10k xd)</t>
  </si>
  <si>
    <t>Standard (Ec 078 100k xd)</t>
  </si>
  <si>
    <t>Standard (Ec 078 1M xd)</t>
  </si>
  <si>
    <t>E.coli Assay</t>
  </si>
  <si>
    <t>150uL for elution</t>
  </si>
  <si>
    <t>Copy in sample (By Calculation)</t>
  </si>
  <si>
    <t>Sample ID Discription</t>
  </si>
  <si>
    <t>L</t>
  </si>
  <si>
    <t>E</t>
  </si>
  <si>
    <t>EQUIPMENT STORE</t>
  </si>
  <si>
    <t>PROD WASH AREA-1</t>
  </si>
  <si>
    <t>PROD WASH AREA-2</t>
  </si>
  <si>
    <t>PROD WASH AREA-3</t>
  </si>
  <si>
    <t>MAIN KITCHEN COUNTER-1</t>
  </si>
  <si>
    <t>MAIN KITCHEN COUNTER-2</t>
  </si>
  <si>
    <t>MAIN KITCHEN STOVE-1</t>
  </si>
  <si>
    <t>MAIN KITCHEN STOVE-2</t>
  </si>
  <si>
    <t>PASTRY AREA-1</t>
  </si>
  <si>
    <t>PASTRY AREA-2</t>
  </si>
  <si>
    <t>MAIN KITCHEN NEAR CHILLER-1</t>
  </si>
  <si>
    <t>MAIN KITCHEN NEAR CHILLER-2</t>
  </si>
  <si>
    <t>MAIN KITCHEN POINT</t>
  </si>
  <si>
    <t>MICRO KITCHEN SINK</t>
  </si>
  <si>
    <t>MOTHER CARE ROOM</t>
  </si>
  <si>
    <t>BEVERAGE COUNTER (ICE DISPENSER)</t>
  </si>
  <si>
    <t>SHOWER MALE</t>
  </si>
  <si>
    <r>
      <t>Result (</t>
    </r>
    <r>
      <rPr>
        <i/>
        <sz val="11"/>
        <color theme="8" tint="-0.499984740745262"/>
        <rFont val="Calibri"/>
        <family val="2"/>
      </rPr>
      <t>Legionella pneumophila 1-15)</t>
    </r>
  </si>
  <si>
    <r>
      <t>(</t>
    </r>
    <r>
      <rPr>
        <b/>
        <i/>
        <sz val="11"/>
        <rFont val="Calibri"/>
        <family val="2"/>
      </rPr>
      <t>Legionella pneumophila 1-15)</t>
    </r>
  </si>
  <si>
    <r>
      <t>(</t>
    </r>
    <r>
      <rPr>
        <i/>
        <sz val="11"/>
        <color theme="8" tint="-0.499984740745262"/>
        <rFont val="Calibri"/>
        <family val="2"/>
      </rPr>
      <t>Legionella pneumophila 1-15)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</si>
</sst>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C00000"/>
      <name val="Calibri"/>
      <family val="2"/>
    </font>
    <font>
      <b/>
      <i/>
      <sz val="11"/>
      <color rgb="FF000000"/>
      <name val="Calibri"/>
      <family val="2"/>
    </font>
    <font>
      <b/>
      <i/>
      <sz val="11"/>
      <color rgb="FFC00000"/>
      <name val="Calibri"/>
      <family val="2"/>
    </font>
    <font>
      <sz val="11"/>
      <color rgb="FFC00000"/>
      <name val="Calibri"/>
      <family val="2"/>
    </font>
    <font>
      <i/>
      <sz val="11"/>
      <color rgb="FFC00000"/>
      <name val="Calibri"/>
      <family val="2"/>
    </font>
    <font>
      <sz val="11"/>
      <color rgb="FF002060"/>
      <name val="Calibri"/>
      <family val="2"/>
      <scheme val="minor"/>
    </font>
    <font>
      <sz val="11"/>
      <color theme="7" tint="-0.499984740745262"/>
      <name val="Calibri"/>
      <family val="2"/>
    </font>
    <font>
      <i/>
      <sz val="11"/>
      <color theme="7" tint="-0.499984740745262"/>
      <name val="Calibri"/>
      <family val="2"/>
    </font>
    <font>
      <b/>
      <i/>
      <sz val="11"/>
      <color theme="7" tint="-0.499984740745262"/>
      <name val="Calibri"/>
      <family val="2"/>
    </font>
    <font>
      <sz val="11"/>
      <color theme="8" tint="-0.499984740745262"/>
      <name val="Calibri"/>
      <family val="2"/>
    </font>
    <font>
      <i/>
      <sz val="11"/>
      <color theme="8" tint="-0.499984740745262"/>
      <name val="Calibri"/>
      <family val="2"/>
    </font>
    <font>
      <b/>
      <i/>
      <sz val="11"/>
      <color theme="8" tint="-0.499984740745262"/>
      <name val="Calibri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272827"/>
      <name val="Arial"/>
      <family val="2"/>
    </font>
    <font>
      <b/>
      <sz val="10"/>
      <color rgb="FF272827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CE6F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62"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9" borderId="21" xfId="0" applyFont="1" applyFill="1" applyBorder="1"/>
    <xf numFmtId="0" fontId="0" fillId="0" borderId="22" xfId="0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 applyBorder="1" applyAlignment="1">
      <alignment horizontal="center" vertical="center"/>
    </xf>
    <xf numFmtId="0" fontId="0" fillId="0" borderId="11" xfId="0" applyBorder="1"/>
    <xf numFmtId="0" fontId="0" fillId="0" borderId="0" xfId="0" applyFill="1" applyBorder="1"/>
    <xf numFmtId="0" fontId="0" fillId="0" borderId="24" xfId="0" applyBorder="1" applyAlignment="1">
      <alignment wrapText="1"/>
    </xf>
    <xf numFmtId="0" fontId="0" fillId="1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8" fillId="11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19" fillId="0" borderId="25" xfId="0" applyFont="1" applyBorder="1" applyAlignment="1">
      <alignment horizontal="center" vertical="center" wrapText="1" readingOrder="1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0" fillId="0" borderId="0" xfId="0" applyFont="1"/>
    <xf numFmtId="10" fontId="1" fillId="0" borderId="0" xfId="0" applyNumberFormat="1" applyFont="1" applyBorder="1"/>
    <xf numFmtId="0" fontId="0" fillId="0" borderId="0" xfId="0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0" fillId="0" borderId="16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7" xfId="0" applyBorder="1"/>
    <xf numFmtId="0" fontId="0" fillId="0" borderId="26" xfId="0" applyBorder="1" applyAlignment="1">
      <alignment horizontal="center" vertical="center"/>
    </xf>
    <xf numFmtId="0" fontId="0" fillId="0" borderId="26" xfId="0" applyBorder="1"/>
    <xf numFmtId="0" fontId="0" fillId="0" borderId="9" xfId="0" applyBorder="1"/>
    <xf numFmtId="0" fontId="18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11" fontId="0" fillId="0" borderId="24" xfId="0" applyNumberFormat="1" applyBorder="1"/>
    <xf numFmtId="164" fontId="1" fillId="0" borderId="16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8" fillId="12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8" fillId="7" borderId="0" xfId="0" applyFont="1" applyFill="1" applyBorder="1" applyAlignment="1">
      <alignment horizontal="center" vertical="center"/>
    </xf>
    <xf numFmtId="0" fontId="18" fillId="11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12" borderId="0" xfId="0" applyFont="1" applyFill="1" applyBorder="1" applyAlignment="1">
      <alignment horizontal="center" vertical="center" wrapText="1"/>
    </xf>
    <xf numFmtId="0" fontId="18" fillId="13" borderId="0" xfId="0" applyFont="1" applyFill="1" applyBorder="1" applyAlignment="1">
      <alignment horizontal="center" vertical="center" wrapText="1"/>
    </xf>
    <xf numFmtId="0" fontId="18" fillId="8" borderId="0" xfId="0" applyFont="1" applyFill="1" applyBorder="1" applyAlignment="1">
      <alignment horizontal="center" vertical="center" wrapText="1"/>
    </xf>
    <xf numFmtId="0" fontId="22" fillId="10" borderId="0" xfId="0" applyFont="1" applyFill="1" applyBorder="1" applyAlignment="1">
      <alignment horizontal="center" vertical="center" wrapText="1"/>
    </xf>
    <xf numFmtId="0" fontId="22" fillId="10" borderId="0" xfId="0" quotePrefix="1" applyFont="1" applyFill="1" applyBorder="1" applyAlignment="1">
      <alignment horizontal="center" vertical="center"/>
    </xf>
    <xf numFmtId="0" fontId="22" fillId="10" borderId="0" xfId="0" applyFont="1" applyFill="1" applyBorder="1" applyAlignment="1">
      <alignment horizontal="center"/>
    </xf>
    <xf numFmtId="164" fontId="22" fillId="0" borderId="0" xfId="0" applyNumberFormat="1" applyFont="1" applyBorder="1"/>
    <xf numFmtId="2" fontId="22" fillId="3" borderId="0" xfId="0" applyNumberFormat="1" applyFont="1" applyFill="1" applyBorder="1"/>
    <xf numFmtId="164" fontId="22" fillId="0" borderId="0" xfId="0" applyNumberFormat="1" applyFont="1" applyBorder="1" applyAlignment="1">
      <alignment horizontal="right" vertical="center"/>
    </xf>
    <xf numFmtId="2" fontId="22" fillId="13" borderId="0" xfId="0" applyNumberFormat="1" applyFont="1" applyFill="1" applyBorder="1" applyAlignment="1">
      <alignment horizontal="right"/>
    </xf>
    <xf numFmtId="2" fontId="22" fillId="8" borderId="0" xfId="0" applyNumberFormat="1" applyFont="1" applyFill="1" applyBorder="1"/>
    <xf numFmtId="0" fontId="22" fillId="0" borderId="0" xfId="0" applyFont="1" applyFill="1" applyBorder="1" applyAlignment="1">
      <alignment horizontal="center" vertical="center" wrapText="1"/>
    </xf>
    <xf numFmtId="0" fontId="22" fillId="0" borderId="0" xfId="0" quotePrefix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right"/>
    </xf>
    <xf numFmtId="2" fontId="22" fillId="0" borderId="0" xfId="0" applyNumberFormat="1" applyFont="1" applyBorder="1"/>
    <xf numFmtId="0" fontId="18" fillId="7" borderId="1" xfId="0" applyFont="1" applyFill="1" applyBorder="1" applyAlignment="1">
      <alignment horizontal="center" vertical="center"/>
    </xf>
    <xf numFmtId="2" fontId="22" fillId="8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2" fontId="22" fillId="13" borderId="1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2" fontId="22" fillId="8" borderId="1" xfId="0" applyNumberFormat="1" applyFont="1" applyFill="1" applyBorder="1" applyAlignment="1">
      <alignment horizontal="center" vertical="center"/>
    </xf>
    <xf numFmtId="2" fontId="22" fillId="13" borderId="1" xfId="0" applyNumberFormat="1" applyFont="1" applyFill="1" applyBorder="1" applyAlignment="1">
      <alignment horizontal="center" vertical="center"/>
    </xf>
    <xf numFmtId="2" fontId="22" fillId="0" borderId="0" xfId="0" applyNumberFormat="1" applyFont="1" applyFill="1" applyBorder="1" applyAlignment="1">
      <alignment horizontal="left"/>
    </xf>
    <xf numFmtId="1" fontId="22" fillId="0" borderId="0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center"/>
    </xf>
    <xf numFmtId="0" fontId="0" fillId="13" borderId="36" xfId="0" applyFill="1" applyBorder="1" applyAlignment="1">
      <alignment horizontal="center" vertical="center" wrapText="1"/>
    </xf>
    <xf numFmtId="0" fontId="0" fillId="13" borderId="37" xfId="0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0" fillId="13" borderId="35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" fillId="14" borderId="14" xfId="0" applyFont="1" applyFill="1" applyBorder="1" applyAlignment="1">
      <alignment horizontal="center"/>
    </xf>
    <xf numFmtId="0" fontId="1" fillId="14" borderId="15" xfId="0" applyFont="1" applyFill="1" applyBorder="1" applyAlignment="1">
      <alignment horizontal="center"/>
    </xf>
    <xf numFmtId="164" fontId="0" fillId="14" borderId="16" xfId="0" applyNumberFormat="1" applyFont="1" applyFill="1" applyBorder="1" applyAlignment="1">
      <alignment horizontal="center"/>
    </xf>
    <xf numFmtId="0" fontId="0" fillId="14" borderId="17" xfId="0" applyFill="1" applyBorder="1" applyAlignment="1">
      <alignment horizontal="center"/>
    </xf>
    <xf numFmtId="0" fontId="1" fillId="14" borderId="0" xfId="0" applyFont="1" applyFill="1" applyBorder="1" applyAlignment="1">
      <alignment horizontal="center"/>
    </xf>
    <xf numFmtId="164" fontId="0" fillId="14" borderId="2" xfId="0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5" borderId="1" xfId="0" applyNumberForma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2" fontId="0" fillId="15" borderId="1" xfId="0" applyNumberFormat="1" applyFill="1" applyBorder="1" applyAlignment="1">
      <alignment horizontal="center"/>
    </xf>
    <xf numFmtId="0" fontId="4" fillId="2" borderId="45" xfId="0" applyFont="1" applyFill="1" applyBorder="1" applyAlignment="1">
      <alignment horizontal="center" vertical="center" wrapText="1"/>
    </xf>
    <xf numFmtId="0" fontId="0" fillId="2" borderId="47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 vertical="center" wrapText="1"/>
    </xf>
    <xf numFmtId="43" fontId="4" fillId="2" borderId="46" xfId="1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wrapText="1"/>
    </xf>
    <xf numFmtId="0" fontId="0" fillId="2" borderId="8" xfId="0" applyFont="1" applyFill="1" applyBorder="1" applyAlignment="1">
      <alignment horizontal="center" vertical="center"/>
    </xf>
    <xf numFmtId="0" fontId="24" fillId="10" borderId="35" xfId="0" applyFont="1" applyFill="1" applyBorder="1" applyAlignment="1">
      <alignment horizontal="center" vertical="center" wrapText="1"/>
    </xf>
    <xf numFmtId="0" fontId="24" fillId="10" borderId="36" xfId="0" applyFont="1" applyFill="1" applyBorder="1" applyAlignment="1">
      <alignment horizontal="center" vertical="center" wrapText="1"/>
    </xf>
    <xf numFmtId="0" fontId="24" fillId="10" borderId="37" xfId="0" applyFont="1" applyFill="1" applyBorder="1" applyAlignment="1">
      <alignment horizontal="center" vertical="center" wrapText="1"/>
    </xf>
    <xf numFmtId="0" fontId="0" fillId="16" borderId="0" xfId="0" applyFill="1"/>
    <xf numFmtId="0" fontId="27" fillId="0" borderId="30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2" fontId="0" fillId="0" borderId="29" xfId="0" applyNumberForma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2" fontId="0" fillId="0" borderId="27" xfId="0" applyNumberFormat="1" applyFill="1" applyBorder="1" applyAlignment="1">
      <alignment horizontal="center" vertical="center"/>
    </xf>
    <xf numFmtId="2" fontId="0" fillId="0" borderId="32" xfId="0" applyNumberFormat="1" applyFill="1" applyBorder="1" applyAlignment="1">
      <alignment horizontal="center" vertical="center"/>
    </xf>
    <xf numFmtId="2" fontId="0" fillId="0" borderId="33" xfId="0" applyNumberFormat="1" applyFill="1" applyBorder="1" applyAlignment="1">
      <alignment horizontal="center" vertical="center"/>
    </xf>
    <xf numFmtId="2" fontId="0" fillId="0" borderId="34" xfId="0" applyNumberFormat="1" applyFill="1" applyBorder="1" applyAlignment="1">
      <alignment horizontal="center" vertical="center"/>
    </xf>
    <xf numFmtId="2" fontId="0" fillId="15" borderId="34" xfId="0" applyNumberFormat="1" applyFill="1" applyBorder="1" applyAlignment="1">
      <alignment horizontal="center" vertical="center"/>
    </xf>
    <xf numFmtId="2" fontId="1" fillId="0" borderId="31" xfId="0" applyNumberFormat="1" applyFont="1" applyFill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1" fillId="0" borderId="33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1" fillId="0" borderId="33" xfId="0" applyNumberFormat="1" applyFont="1" applyBorder="1" applyAlignment="1">
      <alignment horizontal="center"/>
    </xf>
    <xf numFmtId="2" fontId="0" fillId="15" borderId="34" xfId="0" applyNumberFormat="1" applyFill="1" applyBorder="1" applyAlignment="1">
      <alignment horizontal="center"/>
    </xf>
    <xf numFmtId="0" fontId="12" fillId="0" borderId="31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15" borderId="33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33" xfId="0" applyBorder="1" applyAlignment="1"/>
    <xf numFmtId="0" fontId="28" fillId="0" borderId="32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0" fontId="27" fillId="0" borderId="49" xfId="0" applyFont="1" applyFill="1" applyBorder="1" applyAlignment="1">
      <alignment horizontal="center" vertical="center"/>
    </xf>
    <xf numFmtId="2" fontId="0" fillId="0" borderId="42" xfId="0" applyNumberFormat="1" applyFill="1" applyBorder="1" applyAlignment="1">
      <alignment horizontal="center" vertical="center"/>
    </xf>
    <xf numFmtId="0" fontId="0" fillId="12" borderId="50" xfId="0" applyFont="1" applyFill="1" applyBorder="1" applyAlignment="1">
      <alignment horizontal="center" vertical="center" wrapText="1"/>
    </xf>
    <xf numFmtId="0" fontId="0" fillId="12" borderId="3" xfId="0" applyFont="1" applyFill="1" applyBorder="1" applyAlignment="1">
      <alignment horizontal="center" vertical="center" wrapText="1"/>
    </xf>
    <xf numFmtId="0" fontId="0" fillId="12" borderId="5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0" fillId="17" borderId="1" xfId="0" applyNumberFormat="1" applyFill="1" applyBorder="1" applyAlignment="1">
      <alignment horizontal="center" vertical="center"/>
    </xf>
    <xf numFmtId="2" fontId="0" fillId="17" borderId="1" xfId="0" applyNumberFormat="1" applyFill="1" applyBorder="1" applyAlignment="1">
      <alignment horizontal="center"/>
    </xf>
    <xf numFmtId="0" fontId="0" fillId="10" borderId="33" xfId="0" applyFill="1" applyBorder="1" applyAlignment="1">
      <alignment horizontal="left"/>
    </xf>
    <xf numFmtId="0" fontId="0" fillId="8" borderId="3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/>
    </xf>
    <xf numFmtId="2" fontId="1" fillId="18" borderId="1" xfId="0" applyNumberFormat="1" applyFont="1" applyFill="1" applyBorder="1" applyAlignment="1">
      <alignment horizontal="center"/>
    </xf>
    <xf numFmtId="0" fontId="0" fillId="0" borderId="15" xfId="0" applyBorder="1" applyAlignment="1"/>
    <xf numFmtId="0" fontId="0" fillId="0" borderId="0" xfId="0" applyBorder="1" applyAlignment="1"/>
    <xf numFmtId="0" fontId="0" fillId="0" borderId="19" xfId="0" applyBorder="1" applyAlignment="1"/>
    <xf numFmtId="0" fontId="0" fillId="18" borderId="0" xfId="0" applyFill="1"/>
    <xf numFmtId="0" fontId="1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7" fontId="0" fillId="0" borderId="0" xfId="0" applyNumberFormat="1" applyBorder="1" applyAlignment="1">
      <alignment vertical="center" wrapText="1"/>
    </xf>
    <xf numFmtId="0" fontId="0" fillId="3" borderId="31" xfId="0" applyFill="1" applyBorder="1" applyAlignment="1">
      <alignment horizontal="left" vertical="center"/>
    </xf>
    <xf numFmtId="0" fontId="0" fillId="3" borderId="33" xfId="0" applyFill="1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12" borderId="33" xfId="0" applyFill="1" applyBorder="1" applyAlignment="1">
      <alignment horizontal="left" vertical="center"/>
    </xf>
    <xf numFmtId="0" fontId="0" fillId="12" borderId="35" xfId="0" applyFill="1" applyBorder="1" applyAlignment="1">
      <alignment horizontal="left" vertical="center"/>
    </xf>
    <xf numFmtId="0" fontId="0" fillId="19" borderId="33" xfId="0" applyFill="1" applyBorder="1" applyAlignment="1">
      <alignment horizontal="left" vertical="center"/>
    </xf>
    <xf numFmtId="0" fontId="0" fillId="19" borderId="35" xfId="0" applyFill="1" applyBorder="1" applyAlignment="1">
      <alignment horizontal="left" vertical="center"/>
    </xf>
    <xf numFmtId="0" fontId="0" fillId="2" borderId="57" xfId="0" applyFont="1" applyFill="1" applyBorder="1" applyAlignment="1">
      <alignment horizontal="center"/>
    </xf>
    <xf numFmtId="0" fontId="0" fillId="16" borderId="22" xfId="0" applyFill="1" applyBorder="1"/>
    <xf numFmtId="0" fontId="0" fillId="10" borderId="33" xfId="0" applyFill="1" applyBorder="1" applyAlignment="1">
      <alignment horizontal="left" vertical="center"/>
    </xf>
    <xf numFmtId="0" fontId="27" fillId="0" borderId="36" xfId="0" applyFont="1" applyFill="1" applyBorder="1" applyAlignment="1">
      <alignment horizontal="center" vertical="center"/>
    </xf>
    <xf numFmtId="2" fontId="0" fillId="0" borderId="36" xfId="0" applyNumberFormat="1" applyFill="1" applyBorder="1" applyAlignment="1">
      <alignment horizontal="center" vertical="center"/>
    </xf>
    <xf numFmtId="2" fontId="0" fillId="17" borderId="36" xfId="0" applyNumberForma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 wrapText="1"/>
    </xf>
    <xf numFmtId="43" fontId="4" fillId="2" borderId="59" xfId="1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49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0" fillId="13" borderId="60" xfId="0" applyFill="1" applyBorder="1" applyAlignment="1">
      <alignment horizontal="center" vertical="center" wrapText="1"/>
    </xf>
    <xf numFmtId="2" fontId="0" fillId="0" borderId="28" xfId="0" applyNumberFormat="1" applyFill="1" applyBorder="1" applyAlignment="1">
      <alignment horizontal="center" vertical="center"/>
    </xf>
    <xf numFmtId="2" fontId="0" fillId="0" borderId="49" xfId="0" applyNumberFormat="1" applyFill="1" applyBorder="1" applyAlignment="1">
      <alignment horizontal="center" vertical="center"/>
    </xf>
    <xf numFmtId="2" fontId="0" fillId="15" borderId="28" xfId="0" applyNumberFormat="1" applyFill="1" applyBorder="1" applyAlignment="1">
      <alignment horizontal="center" vertical="center"/>
    </xf>
    <xf numFmtId="2" fontId="0" fillId="15" borderId="60" xfId="0" applyNumberFormat="1" applyFill="1" applyBorder="1" applyAlignment="1">
      <alignment horizontal="center" vertical="center"/>
    </xf>
    <xf numFmtId="2" fontId="0" fillId="17" borderId="27" xfId="0" applyNumberFormat="1" applyFill="1" applyBorder="1" applyAlignment="1">
      <alignment horizontal="center" vertical="center"/>
    </xf>
    <xf numFmtId="0" fontId="27" fillId="0" borderId="42" xfId="0" applyFont="1" applyFill="1" applyBorder="1" applyAlignment="1">
      <alignment horizontal="center" vertical="center"/>
    </xf>
    <xf numFmtId="0" fontId="27" fillId="0" borderId="29" xfId="0" applyFont="1" applyFill="1" applyBorder="1" applyAlignment="1">
      <alignment horizontal="center" vertical="center"/>
    </xf>
    <xf numFmtId="0" fontId="27" fillId="0" borderId="38" xfId="0" applyFont="1" applyFill="1" applyBorder="1" applyAlignment="1">
      <alignment horizontal="center" vertical="center"/>
    </xf>
    <xf numFmtId="2" fontId="0" fillId="15" borderId="49" xfId="0" applyNumberFormat="1" applyFill="1" applyBorder="1" applyAlignment="1">
      <alignment horizontal="center" vertical="center"/>
    </xf>
    <xf numFmtId="0" fontId="12" fillId="20" borderId="46" xfId="0" applyFont="1" applyFill="1" applyBorder="1" applyAlignment="1">
      <alignment horizontal="center" vertical="center"/>
    </xf>
    <xf numFmtId="2" fontId="1" fillId="20" borderId="35" xfId="0" applyNumberFormat="1" applyFont="1" applyFill="1" applyBorder="1" applyAlignment="1">
      <alignment horizontal="center"/>
    </xf>
    <xf numFmtId="2" fontId="0" fillId="20" borderId="1" xfId="0" applyNumberFormat="1" applyFill="1" applyBorder="1" applyAlignment="1">
      <alignment horizontal="center"/>
    </xf>
    <xf numFmtId="2" fontId="0" fillId="20" borderId="34" xfId="0" applyNumberFormat="1" applyFill="1" applyBorder="1" applyAlignment="1">
      <alignment horizontal="center"/>
    </xf>
    <xf numFmtId="2" fontId="0" fillId="20" borderId="36" xfId="0" applyNumberFormat="1" applyFill="1" applyBorder="1" applyAlignment="1">
      <alignment horizontal="center"/>
    </xf>
    <xf numFmtId="2" fontId="0" fillId="20" borderId="37" xfId="0" applyNumberFormat="1" applyFill="1" applyBorder="1" applyAlignment="1">
      <alignment horizontal="center"/>
    </xf>
    <xf numFmtId="2" fontId="0" fillId="20" borderId="27" xfId="0" applyNumberFormat="1" applyFill="1" applyBorder="1" applyAlignment="1">
      <alignment horizontal="center"/>
    </xf>
    <xf numFmtId="2" fontId="0" fillId="20" borderId="32" xfId="0" applyNumberFormat="1" applyFill="1" applyBorder="1" applyAlignment="1">
      <alignment horizontal="center"/>
    </xf>
    <xf numFmtId="0" fontId="15" fillId="20" borderId="1" xfId="0" applyFont="1" applyFill="1" applyBorder="1" applyAlignment="1">
      <alignment horizontal="center" vertical="center"/>
    </xf>
    <xf numFmtId="0" fontId="9" fillId="20" borderId="1" xfId="0" applyFont="1" applyFill="1" applyBorder="1" applyAlignment="1">
      <alignment horizontal="center" vertical="center"/>
    </xf>
    <xf numFmtId="0" fontId="15" fillId="20" borderId="36" xfId="0" applyFont="1" applyFill="1" applyBorder="1" applyAlignment="1">
      <alignment horizontal="center" vertical="center"/>
    </xf>
    <xf numFmtId="0" fontId="9" fillId="20" borderId="36" xfId="0" applyFont="1" applyFill="1" applyBorder="1" applyAlignment="1">
      <alignment horizontal="center" vertical="center"/>
    </xf>
    <xf numFmtId="0" fontId="15" fillId="20" borderId="42" xfId="0" applyFont="1" applyFill="1" applyBorder="1" applyAlignment="1">
      <alignment horizontal="center" vertical="center"/>
    </xf>
    <xf numFmtId="0" fontId="9" fillId="20" borderId="32" xfId="0" applyFont="1" applyFill="1" applyBorder="1" applyAlignment="1">
      <alignment horizontal="center" vertical="center"/>
    </xf>
    <xf numFmtId="0" fontId="15" fillId="20" borderId="29" xfId="0" applyFont="1" applyFill="1" applyBorder="1" applyAlignment="1">
      <alignment horizontal="center" vertical="center"/>
    </xf>
    <xf numFmtId="0" fontId="9" fillId="20" borderId="34" xfId="0" applyFont="1" applyFill="1" applyBorder="1" applyAlignment="1">
      <alignment horizontal="center" vertical="center"/>
    </xf>
    <xf numFmtId="0" fontId="15" fillId="20" borderId="38" xfId="0" applyFont="1" applyFill="1" applyBorder="1" applyAlignment="1">
      <alignment horizontal="center" vertical="center"/>
    </xf>
    <xf numFmtId="0" fontId="9" fillId="20" borderId="37" xfId="0" applyFont="1" applyFill="1" applyBorder="1" applyAlignment="1">
      <alignment horizontal="center" vertical="center"/>
    </xf>
    <xf numFmtId="0" fontId="0" fillId="21" borderId="33" xfId="0" applyFill="1" applyBorder="1" applyAlignment="1">
      <alignment horizontal="left" vertical="center"/>
    </xf>
    <xf numFmtId="0" fontId="12" fillId="21" borderId="33" xfId="0" applyFont="1" applyFill="1" applyBorder="1" applyAlignment="1">
      <alignment horizontal="center" vertical="center"/>
    </xf>
    <xf numFmtId="0" fontId="12" fillId="12" borderId="33" xfId="0" applyFont="1" applyFill="1" applyBorder="1" applyAlignment="1">
      <alignment horizontal="center" vertical="center"/>
    </xf>
    <xf numFmtId="0" fontId="12" fillId="12" borderId="35" xfId="0" applyFont="1" applyFill="1" applyBorder="1" applyAlignment="1">
      <alignment horizontal="center" vertical="center"/>
    </xf>
    <xf numFmtId="2" fontId="1" fillId="12" borderId="33" xfId="0" applyNumberFormat="1" applyFont="1" applyFill="1" applyBorder="1" applyAlignment="1">
      <alignment horizontal="center"/>
    </xf>
    <xf numFmtId="2" fontId="1" fillId="12" borderId="35" xfId="0" applyNumberFormat="1" applyFont="1" applyFill="1" applyBorder="1" applyAlignment="1">
      <alignment horizontal="center"/>
    </xf>
    <xf numFmtId="2" fontId="1" fillId="3" borderId="33" xfId="0" applyNumberFormat="1" applyFont="1" applyFill="1" applyBorder="1" applyAlignment="1">
      <alignment horizontal="center"/>
    </xf>
    <xf numFmtId="0" fontId="12" fillId="3" borderId="45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12" fillId="19" borderId="47" xfId="0" applyFont="1" applyFill="1" applyBorder="1" applyAlignment="1">
      <alignment horizontal="center" vertical="center"/>
    </xf>
    <xf numFmtId="2" fontId="1" fillId="19" borderId="33" xfId="0" applyNumberFormat="1" applyFont="1" applyFill="1" applyBorder="1" applyAlignment="1">
      <alignment horizontal="center"/>
    </xf>
    <xf numFmtId="0" fontId="12" fillId="10" borderId="33" xfId="0" applyFont="1" applyFill="1" applyBorder="1" applyAlignment="1">
      <alignment horizontal="center" vertical="center"/>
    </xf>
    <xf numFmtId="2" fontId="26" fillId="21" borderId="33" xfId="0" applyNumberFormat="1" applyFont="1" applyFill="1" applyBorder="1" applyAlignment="1">
      <alignment horizontal="center"/>
    </xf>
    <xf numFmtId="2" fontId="26" fillId="10" borderId="33" xfId="0" applyNumberFormat="1" applyFont="1" applyFill="1" applyBorder="1" applyAlignment="1">
      <alignment horizontal="center"/>
    </xf>
    <xf numFmtId="2" fontId="26" fillId="3" borderId="33" xfId="0" applyNumberFormat="1" applyFont="1" applyFill="1" applyBorder="1" applyAlignment="1">
      <alignment horizontal="center"/>
    </xf>
    <xf numFmtId="2" fontId="2" fillId="3" borderId="31" xfId="0" applyNumberFormat="1" applyFont="1" applyFill="1" applyBorder="1" applyAlignment="1">
      <alignment horizontal="center"/>
    </xf>
    <xf numFmtId="2" fontId="26" fillId="19" borderId="33" xfId="0" applyNumberFormat="1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 vertical="center"/>
    </xf>
    <xf numFmtId="0" fontId="0" fillId="2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0" xfId="0" applyFill="1"/>
    <xf numFmtId="16" fontId="27" fillId="3" borderId="1" xfId="0" applyNumberFormat="1" applyFont="1" applyFill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1" fillId="0" borderId="0" xfId="0" applyFont="1" applyFill="1" applyBorder="1" applyAlignment="1"/>
    <xf numFmtId="0" fontId="0" fillId="23" borderId="0" xfId="0" applyFill="1" applyAlignment="1"/>
    <xf numFmtId="0" fontId="20" fillId="0" borderId="0" xfId="0" applyFont="1" applyBorder="1"/>
    <xf numFmtId="164" fontId="0" fillId="0" borderId="1" xfId="0" applyNumberFormat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0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/>
    </xf>
    <xf numFmtId="0" fontId="0" fillId="14" borderId="0" xfId="0" applyFill="1"/>
    <xf numFmtId="2" fontId="23" fillId="10" borderId="42" xfId="0" applyNumberFormat="1" applyFont="1" applyFill="1" applyBorder="1" applyAlignment="1">
      <alignment vertical="center" wrapText="1"/>
    </xf>
    <xf numFmtId="0" fontId="24" fillId="10" borderId="38" xfId="0" applyFont="1" applyFill="1" applyBorder="1" applyAlignment="1">
      <alignment horizontal="center" vertical="center" wrapText="1"/>
    </xf>
    <xf numFmtId="2" fontId="1" fillId="18" borderId="29" xfId="0" applyNumberFormat="1" applyFont="1" applyFill="1" applyBorder="1" applyAlignment="1">
      <alignment horizontal="center"/>
    </xf>
    <xf numFmtId="2" fontId="1" fillId="3" borderId="29" xfId="0" applyNumberFormat="1" applyFont="1" applyFill="1" applyBorder="1" applyAlignment="1">
      <alignment horizontal="center"/>
    </xf>
    <xf numFmtId="2" fontId="1" fillId="14" borderId="29" xfId="0" applyNumberFormat="1" applyFont="1" applyFill="1" applyBorder="1" applyAlignment="1">
      <alignment horizontal="center"/>
    </xf>
    <xf numFmtId="0" fontId="9" fillId="0" borderId="23" xfId="0" applyFont="1" applyFill="1" applyBorder="1" applyAlignment="1">
      <alignment vertical="center"/>
    </xf>
    <xf numFmtId="0" fontId="0" fillId="3" borderId="1" xfId="0" applyFill="1" applyBorder="1"/>
    <xf numFmtId="2" fontId="0" fillId="3" borderId="28" xfId="0" applyNumberFormat="1" applyFill="1" applyBorder="1" applyAlignment="1">
      <alignment horizontal="center" vertical="center"/>
    </xf>
    <xf numFmtId="0" fontId="12" fillId="22" borderId="45" xfId="0" applyFont="1" applyFill="1" applyBorder="1" applyAlignment="1">
      <alignment horizontal="center" vertical="center" wrapText="1"/>
    </xf>
    <xf numFmtId="1" fontId="0" fillId="0" borderId="47" xfId="0" applyNumberFormat="1" applyFill="1" applyBorder="1" applyAlignment="1">
      <alignment horizontal="center" vertical="center"/>
    </xf>
    <xf numFmtId="1" fontId="0" fillId="0" borderId="46" xfId="0" applyNumberFormat="1" applyFill="1" applyBorder="1" applyAlignment="1">
      <alignment horizontal="center" vertical="center"/>
    </xf>
    <xf numFmtId="2" fontId="0" fillId="0" borderId="47" xfId="0" applyNumberFormat="1" applyFill="1" applyBorder="1" applyAlignment="1">
      <alignment horizontal="center" vertical="center"/>
    </xf>
    <xf numFmtId="2" fontId="0" fillId="3" borderId="47" xfId="0" applyNumberForma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27" fillId="3" borderId="29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3" fillId="22" borderId="45" xfId="0" applyFont="1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/>
    </xf>
    <xf numFmtId="0" fontId="0" fillId="0" borderId="47" xfId="0" applyFill="1" applyBorder="1" applyAlignment="1">
      <alignment horizontal="left" vertical="center"/>
    </xf>
    <xf numFmtId="0" fontId="0" fillId="3" borderId="47" xfId="0" applyFill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0" fillId="16" borderId="42" xfId="0" applyFill="1" applyBorder="1"/>
    <xf numFmtId="0" fontId="12" fillId="3" borderId="49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/>
    </xf>
    <xf numFmtId="43" fontId="4" fillId="2" borderId="60" xfId="1" applyFont="1" applyFill="1" applyBorder="1" applyAlignment="1">
      <alignment horizontal="center" vertical="center"/>
    </xf>
    <xf numFmtId="0" fontId="13" fillId="22" borderId="46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0" fillId="12" borderId="60" xfId="0" applyFont="1" applyFill="1" applyBorder="1" applyAlignment="1">
      <alignment horizontal="center" vertical="center" wrapText="1"/>
    </xf>
    <xf numFmtId="0" fontId="0" fillId="22" borderId="46" xfId="0" applyFont="1" applyFill="1" applyBorder="1" applyAlignment="1">
      <alignment horizontal="center" vertical="center" wrapText="1"/>
    </xf>
    <xf numFmtId="0" fontId="0" fillId="3" borderId="61" xfId="0" applyFill="1" applyBorder="1" applyAlignment="1">
      <alignment horizontal="left" vertical="center"/>
    </xf>
    <xf numFmtId="0" fontId="0" fillId="3" borderId="20" xfId="0" applyFill="1" applyBorder="1" applyAlignment="1">
      <alignment horizontal="center" vertical="center"/>
    </xf>
    <xf numFmtId="0" fontId="0" fillId="3" borderId="55" xfId="0" applyFill="1" applyBorder="1"/>
    <xf numFmtId="0" fontId="0" fillId="3" borderId="5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2" fontId="12" fillId="3" borderId="61" xfId="0" applyNumberFormat="1" applyFont="1" applyFill="1" applyBorder="1" applyAlignment="1">
      <alignment horizontal="center" vertical="center"/>
    </xf>
    <xf numFmtId="0" fontId="27" fillId="3" borderId="20" xfId="0" applyFont="1" applyFill="1" applyBorder="1" applyAlignment="1">
      <alignment horizontal="center" vertical="center"/>
    </xf>
    <xf numFmtId="2" fontId="0" fillId="3" borderId="18" xfId="0" applyNumberFormat="1" applyFill="1" applyBorder="1" applyAlignment="1">
      <alignment horizontal="center" vertical="center"/>
    </xf>
    <xf numFmtId="2" fontId="0" fillId="3" borderId="61" xfId="0" applyNumberFormat="1" applyFill="1" applyBorder="1" applyAlignment="1">
      <alignment horizontal="center" vertical="center"/>
    </xf>
    <xf numFmtId="1" fontId="0" fillId="3" borderId="61" xfId="0" applyNumberFormat="1" applyFill="1" applyBorder="1" applyAlignment="1">
      <alignment horizontal="center" vertical="center"/>
    </xf>
    <xf numFmtId="2" fontId="12" fillId="3" borderId="47" xfId="0" applyNumberFormat="1" applyFont="1" applyFill="1" applyBorder="1" applyAlignment="1">
      <alignment horizontal="center" vertical="center"/>
    </xf>
    <xf numFmtId="1" fontId="0" fillId="3" borderId="47" xfId="0" applyNumberForma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1" xfId="0" applyFill="1" applyBorder="1"/>
    <xf numFmtId="0" fontId="0" fillId="0" borderId="28" xfId="0" applyFill="1" applyBorder="1" applyAlignment="1">
      <alignment horizontal="center" vertical="center"/>
    </xf>
    <xf numFmtId="16" fontId="27" fillId="0" borderId="29" xfId="0" applyNumberFormat="1" applyFont="1" applyFill="1" applyBorder="1" applyAlignment="1">
      <alignment horizontal="center" vertical="center"/>
    </xf>
    <xf numFmtId="0" fontId="0" fillId="0" borderId="46" xfId="0" applyFill="1" applyBorder="1" applyAlignment="1">
      <alignment horizontal="left" vertical="center"/>
    </xf>
    <xf numFmtId="0" fontId="12" fillId="0" borderId="46" xfId="0" applyFont="1" applyFill="1" applyBorder="1" applyAlignment="1">
      <alignment horizontal="center" vertical="center"/>
    </xf>
    <xf numFmtId="2" fontId="0" fillId="0" borderId="46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 wrapText="1"/>
    </xf>
    <xf numFmtId="2" fontId="0" fillId="0" borderId="52" xfId="0" applyNumberFormat="1" applyFill="1" applyBorder="1" applyAlignment="1">
      <alignment horizontal="center" vertical="center"/>
    </xf>
    <xf numFmtId="2" fontId="0" fillId="0" borderId="54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2" fontId="0" fillId="0" borderId="54" xfId="0" applyNumberFormat="1" applyFill="1" applyBorder="1" applyAlignment="1">
      <alignment horizontal="center"/>
    </xf>
    <xf numFmtId="0" fontId="0" fillId="0" borderId="35" xfId="0" applyBorder="1" applyAlignment="1"/>
    <xf numFmtId="0" fontId="0" fillId="0" borderId="36" xfId="0" applyBorder="1" applyAlignment="1"/>
    <xf numFmtId="0" fontId="0" fillId="0" borderId="26" xfId="0" applyBorder="1" applyAlignment="1"/>
    <xf numFmtId="0" fontId="11" fillId="0" borderId="35" xfId="0" applyFont="1" applyBorder="1" applyAlignment="1">
      <alignment horizontal="center"/>
    </xf>
    <xf numFmtId="0" fontId="28" fillId="0" borderId="37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5" fillId="15" borderId="36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27" fillId="0" borderId="60" xfId="0" applyFont="1" applyFill="1" applyBorder="1" applyAlignment="1">
      <alignment horizontal="center" vertical="center"/>
    </xf>
    <xf numFmtId="2" fontId="0" fillId="0" borderId="38" xfId="0" applyNumberFormat="1" applyFill="1" applyBorder="1" applyAlignment="1">
      <alignment horizontal="center" vertical="center"/>
    </xf>
    <xf numFmtId="2" fontId="0" fillId="15" borderId="36" xfId="0" applyNumberFormat="1" applyFill="1" applyBorder="1" applyAlignment="1">
      <alignment horizontal="center" vertical="center"/>
    </xf>
    <xf numFmtId="2" fontId="0" fillId="15" borderId="37" xfId="0" applyNumberFormat="1" applyFill="1" applyBorder="1" applyAlignment="1">
      <alignment horizontal="center" vertical="center"/>
    </xf>
    <xf numFmtId="2" fontId="1" fillId="0" borderId="35" xfId="0" applyNumberFormat="1" applyFont="1" applyBorder="1" applyAlignment="1">
      <alignment horizontal="center"/>
    </xf>
    <xf numFmtId="2" fontId="0" fillId="15" borderId="36" xfId="0" applyNumberFormat="1" applyFill="1" applyBorder="1" applyAlignment="1">
      <alignment horizontal="center"/>
    </xf>
    <xf numFmtId="2" fontId="0" fillId="15" borderId="37" xfId="0" applyNumberFormat="1" applyFill="1" applyBorder="1" applyAlignment="1">
      <alignment horizontal="center"/>
    </xf>
    <xf numFmtId="2" fontId="0" fillId="14" borderId="29" xfId="0" applyNumberFormat="1" applyFill="1" applyBorder="1" applyAlignment="1">
      <alignment horizontal="center" vertical="center"/>
    </xf>
    <xf numFmtId="2" fontId="0" fillId="14" borderId="1" xfId="0" applyNumberFormat="1" applyFill="1" applyBorder="1" applyAlignment="1">
      <alignment horizontal="center" vertical="center"/>
    </xf>
    <xf numFmtId="2" fontId="0" fillId="14" borderId="34" xfId="0" applyNumberFormat="1" applyFill="1" applyBorder="1" applyAlignment="1">
      <alignment horizontal="center" vertical="center"/>
    </xf>
    <xf numFmtId="2" fontId="0" fillId="24" borderId="1" xfId="0" applyNumberFormat="1" applyFill="1" applyBorder="1" applyAlignment="1">
      <alignment horizontal="center" vertical="center"/>
    </xf>
    <xf numFmtId="2" fontId="0" fillId="24" borderId="29" xfId="0" applyNumberFormat="1" applyFill="1" applyBorder="1" applyAlignment="1">
      <alignment horizontal="center" vertical="center"/>
    </xf>
    <xf numFmtId="2" fontId="0" fillId="24" borderId="34" xfId="0" applyNumberFormat="1" applyFill="1" applyBorder="1" applyAlignment="1">
      <alignment horizontal="center" vertical="center"/>
    </xf>
    <xf numFmtId="2" fontId="0" fillId="24" borderId="38" xfId="0" applyNumberFormat="1" applyFill="1" applyBorder="1" applyAlignment="1">
      <alignment horizontal="center" vertical="center"/>
    </xf>
    <xf numFmtId="2" fontId="0" fillId="24" borderId="37" xfId="0" applyNumberFormat="1" applyFill="1" applyBorder="1" applyAlignment="1">
      <alignment horizontal="center" vertical="center"/>
    </xf>
    <xf numFmtId="2" fontId="0" fillId="24" borderId="1" xfId="0" applyNumberFormat="1" applyFill="1" applyBorder="1" applyAlignment="1">
      <alignment horizontal="center"/>
    </xf>
    <xf numFmtId="2" fontId="0" fillId="24" borderId="34" xfId="0" applyNumberFormat="1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0" fontId="13" fillId="0" borderId="16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2" fontId="22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22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0" borderId="5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2" fontId="23" fillId="10" borderId="31" xfId="0" applyNumberFormat="1" applyFont="1" applyFill="1" applyBorder="1" applyAlignment="1">
      <alignment horizontal="center" vertical="center" wrapText="1"/>
    </xf>
    <xf numFmtId="2" fontId="23" fillId="10" borderId="27" xfId="0" applyNumberFormat="1" applyFont="1" applyFill="1" applyBorder="1" applyAlignment="1">
      <alignment horizontal="center" vertical="center" wrapText="1"/>
    </xf>
    <xf numFmtId="2" fontId="23" fillId="10" borderId="32" xfId="0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9" fillId="2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2" fontId="31" fillId="0" borderId="55" xfId="0" applyNumberFormat="1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/>
    </xf>
    <xf numFmtId="2" fontId="1" fillId="0" borderId="52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9" fillId="24" borderId="55" xfId="0" applyFont="1" applyFill="1" applyBorder="1" applyAlignment="1">
      <alignment horizontal="center" vertical="center"/>
    </xf>
    <xf numFmtId="0" fontId="9" fillId="24" borderId="1" xfId="0" applyFont="1" applyFill="1" applyBorder="1" applyAlignment="1">
      <alignment horizontal="center" vertical="center"/>
    </xf>
    <xf numFmtId="2" fontId="0" fillId="24" borderId="62" xfId="0" applyNumberFormat="1" applyFill="1" applyBorder="1" applyAlignment="1">
      <alignment horizontal="center" vertical="center"/>
    </xf>
    <xf numFmtId="2" fontId="0" fillId="24" borderId="62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/>
              <a:t>All Legionella Standard Curve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3090495129702421E-2"/>
                  <c:y val="-0.309543462239633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'[1]Calculation sheet (4)'!$D$6:$D$9</c:f>
              <c:numCache>
                <c:formatCode>General</c:formatCode>
                <c:ptCount val="4"/>
                <c:pt idx="0">
                  <c:v>3.1504494094608808</c:v>
                </c:pt>
                <c:pt idx="1">
                  <c:v>2.1139433523068369</c:v>
                </c:pt>
                <c:pt idx="2">
                  <c:v>1.0413926851582251</c:v>
                </c:pt>
                <c:pt idx="3">
                  <c:v>0</c:v>
                </c:pt>
              </c:numCache>
            </c:numRef>
          </c:xVal>
          <c:yVal>
            <c:numRef>
              <c:f>'[1]Calculation sheet (4)'!$I$6:$I$9</c:f>
              <c:numCache>
                <c:formatCode>General</c:formatCode>
                <c:ptCount val="4"/>
                <c:pt idx="0">
                  <c:v>24.414999999999999</c:v>
                </c:pt>
                <c:pt idx="1">
                  <c:v>28.083333333333332</c:v>
                </c:pt>
                <c:pt idx="2">
                  <c:v>31.569999999999997</c:v>
                </c:pt>
                <c:pt idx="3">
                  <c:v>34.913333333333334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BF-4D89-8370-60B4AD71D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46463"/>
        <c:axId val="34048127"/>
      </c:scatterChart>
      <c:valAx>
        <c:axId val="34046463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Log10 [Concentration</a:t>
                </a:r>
                <a:r>
                  <a:rPr lang="en-US" baseline="0"/>
                  <a:t> (copies/ul)]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48127"/>
        <c:crosses val="autoZero"/>
        <c:crossBetween val="midCat"/>
      </c:valAx>
      <c:valAx>
        <c:axId val="34048127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</a:t>
                </a:r>
                <a:r>
                  <a:rPr lang="en-US" baseline="0"/>
                  <a:t> value (HEX)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46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Sg 1-15 Standard Curve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3281734161424032E-2"/>
                  <c:y val="-0.2953025109017799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'[1]Calculation sheet (4)'!$D$24:$D$27</c:f>
              <c:numCache>
                <c:formatCode>General</c:formatCode>
                <c:ptCount val="4"/>
                <c:pt idx="0">
                  <c:v>3.1504494094608808</c:v>
                </c:pt>
                <c:pt idx="1">
                  <c:v>2.1139433523068369</c:v>
                </c:pt>
                <c:pt idx="2">
                  <c:v>1.0413926851582251</c:v>
                </c:pt>
                <c:pt idx="3">
                  <c:v>0</c:v>
                </c:pt>
              </c:numCache>
            </c:numRef>
          </c:xVal>
          <c:yVal>
            <c:numRef>
              <c:f>'[1]Calculation sheet (4)'!$I$24:$I$27</c:f>
              <c:numCache>
                <c:formatCode>General</c:formatCode>
                <c:ptCount val="4"/>
                <c:pt idx="0">
                  <c:v>24.725000000000001</c:v>
                </c:pt>
                <c:pt idx="1">
                  <c:v>28.163333333333338</c:v>
                </c:pt>
                <c:pt idx="2">
                  <c:v>31.363333333333333</c:v>
                </c:pt>
                <c:pt idx="3">
                  <c:v>34.79666666666666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63-4937-AE7F-B20EE1477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46463"/>
        <c:axId val="34048127"/>
      </c:scatterChart>
      <c:valAx>
        <c:axId val="340464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Log10 [Concentration</a:t>
                </a:r>
                <a:r>
                  <a:rPr lang="en-US" baseline="0"/>
                  <a:t> (copies/ul)]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48127"/>
        <c:crosses val="autoZero"/>
        <c:crossBetween val="midCat"/>
      </c:valAx>
      <c:valAx>
        <c:axId val="34048127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</a:t>
                </a:r>
                <a:r>
                  <a:rPr lang="en-US" baseline="0"/>
                  <a:t> value (FAM)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46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/>
              <a:t> Sg1 Standard Curve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6127111027646244E-2"/>
                  <c:y val="-0.280657192264510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'[1]Calculation sheet (4)'!$D$42:$D$45</c:f>
              <c:numCache>
                <c:formatCode>General</c:formatCode>
                <c:ptCount val="4"/>
                <c:pt idx="0">
                  <c:v>3.1504494094608808</c:v>
                </c:pt>
                <c:pt idx="1">
                  <c:v>2.1139433523068369</c:v>
                </c:pt>
                <c:pt idx="2">
                  <c:v>1.0413926851582251</c:v>
                </c:pt>
                <c:pt idx="3">
                  <c:v>0</c:v>
                </c:pt>
              </c:numCache>
            </c:numRef>
          </c:xVal>
          <c:yVal>
            <c:numRef>
              <c:f>'[1]Calculation sheet (4)'!$I$42:$I$45</c:f>
              <c:numCache>
                <c:formatCode>General</c:formatCode>
                <c:ptCount val="4"/>
                <c:pt idx="0">
                  <c:v>24.895</c:v>
                </c:pt>
                <c:pt idx="1">
                  <c:v>28.456666666666667</c:v>
                </c:pt>
                <c:pt idx="2">
                  <c:v>31.95</c:v>
                </c:pt>
                <c:pt idx="3">
                  <c:v>35.449999999999996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BC-4662-94CF-E2DBC02F2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46463"/>
        <c:axId val="34048127"/>
      </c:scatterChart>
      <c:valAx>
        <c:axId val="34046463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Log10 [Concentration</a:t>
                </a:r>
                <a:r>
                  <a:rPr lang="en-US" baseline="0"/>
                  <a:t> (copies/ul)]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48127"/>
        <c:crosses val="autoZero"/>
        <c:crossBetween val="midCat"/>
      </c:valAx>
      <c:valAx>
        <c:axId val="34048127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</a:t>
                </a:r>
                <a:r>
                  <a:rPr lang="en-US" baseline="0"/>
                  <a:t> value (TxRed)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46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/>
              <a:t>All Legionella Standard Curve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3090495129702421E-2"/>
                  <c:y val="-0.309543462239633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'Ec 078 Stds'!$D$6:$D$9</c:f>
              <c:numCache>
                <c:formatCode>0.000</c:formatCode>
                <c:ptCount val="4"/>
                <c:pt idx="0">
                  <c:v>3.393715558601472</c:v>
                </c:pt>
                <c:pt idx="1">
                  <c:v>2.3941013020400446</c:v>
                </c:pt>
                <c:pt idx="2">
                  <c:v>1.3692158574101427</c:v>
                </c:pt>
                <c:pt idx="3">
                  <c:v>0.43104194533588541</c:v>
                </c:pt>
              </c:numCache>
            </c:numRef>
          </c:xVal>
          <c:yVal>
            <c:numRef>
              <c:f>'Ec 078 Stds'!$I$6:$I$9</c:f>
              <c:numCache>
                <c:formatCode>0.00</c:formatCode>
                <c:ptCount val="4"/>
                <c:pt idx="0">
                  <c:v>23.099999999999998</c:v>
                </c:pt>
                <c:pt idx="1">
                  <c:v>26.313333333333333</c:v>
                </c:pt>
                <c:pt idx="2">
                  <c:v>29.666666666666668</c:v>
                </c:pt>
                <c:pt idx="3">
                  <c:v>33.93333333333333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B6-41AA-ABE1-2123BA876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46463"/>
        <c:axId val="34048127"/>
      </c:scatterChart>
      <c:valAx>
        <c:axId val="34046463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Log10 [Concentration</a:t>
                </a:r>
                <a:r>
                  <a:rPr lang="en-US" baseline="0"/>
                  <a:t> (copies/ul)]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48127"/>
        <c:crosses val="autoZero"/>
        <c:crossBetween val="midCat"/>
      </c:valAx>
      <c:valAx>
        <c:axId val="34048127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</a:t>
                </a:r>
                <a:r>
                  <a:rPr lang="en-US" baseline="0"/>
                  <a:t> value (HEX)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46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57148</xdr:colOff>
      <xdr:row>1</xdr:row>
      <xdr:rowOff>98425</xdr:rowOff>
    </xdr:from>
    <xdr:to>
      <xdr:col>12</xdr:col>
      <xdr:colOff>231321</xdr:colOff>
      <xdr:row>13</xdr:row>
      <xdr:rowOff>163286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196850</xdr:colOff>
      <xdr:row>19</xdr:row>
      <xdr:rowOff>180975</xdr:rowOff>
    </xdr:from>
    <xdr:to>
      <xdr:col>12</xdr:col>
      <xdr:colOff>177800</xdr:colOff>
      <xdr:row>31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196850</xdr:colOff>
      <xdr:row>37</xdr:row>
      <xdr:rowOff>180975</xdr:rowOff>
    </xdr:from>
    <xdr:to>
      <xdr:col>12</xdr:col>
      <xdr:colOff>177800</xdr:colOff>
      <xdr:row>49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57148</xdr:colOff>
      <xdr:row>1</xdr:row>
      <xdr:rowOff>98425</xdr:rowOff>
    </xdr:from>
    <xdr:to>
      <xdr:col>13</xdr:col>
      <xdr:colOff>231321</xdr:colOff>
      <xdr:row>13</xdr:row>
      <xdr:rowOff>163286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9</xdr:row>
      <xdr:rowOff>53340</xdr:rowOff>
    </xdr:from>
    <xdr:to>
      <xdr:col>9</xdr:col>
      <xdr:colOff>482910</xdr:colOff>
      <xdr:row>25</xdr:row>
      <xdr:rowOff>60593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8740" y="2095500"/>
          <a:ext cx="7676190" cy="2933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unt%20Calculation%20based%20on%20Assay%20as%20of%2021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 sheet (2)"/>
      <sheetName val="Calculation sheet"/>
      <sheetName val="Calculation sheet (3)"/>
      <sheetName val="Calculation sheet (4)"/>
      <sheetName val="Sheet2"/>
      <sheetName val=" 4 Marina One-pre-cleaning"/>
      <sheetName val="17 Marina One-post cleaning"/>
      <sheetName val="vRNA Calculation sheet (2)"/>
    </sheetNames>
    <sheetDataSet>
      <sheetData sheetId="0"/>
      <sheetData sheetId="1"/>
      <sheetData sheetId="2"/>
      <sheetData sheetId="3">
        <row r="6">
          <cell r="D6">
            <v>3.1504494094608808</v>
          </cell>
          <cell r="I6">
            <v>24.414999999999999</v>
          </cell>
        </row>
        <row r="7">
          <cell r="D7">
            <v>2.1139433523068369</v>
          </cell>
          <cell r="I7">
            <v>28.083333333333332</v>
          </cell>
        </row>
        <row r="8">
          <cell r="D8">
            <v>1.0413926851582251</v>
          </cell>
          <cell r="I8">
            <v>31.569999999999997</v>
          </cell>
        </row>
        <row r="9">
          <cell r="D9">
            <v>0</v>
          </cell>
          <cell r="I9">
            <v>34.913333333333334</v>
          </cell>
        </row>
        <row r="24">
          <cell r="D24">
            <v>3.1504494094608808</v>
          </cell>
          <cell r="I24">
            <v>24.725000000000001</v>
          </cell>
        </row>
        <row r="25">
          <cell r="D25">
            <v>2.1139433523068369</v>
          </cell>
          <cell r="I25">
            <v>28.163333333333338</v>
          </cell>
        </row>
        <row r="26">
          <cell r="D26">
            <v>1.0413926851582251</v>
          </cell>
          <cell r="I26">
            <v>31.363333333333333</v>
          </cell>
        </row>
        <row r="27">
          <cell r="D27">
            <v>0</v>
          </cell>
          <cell r="I27">
            <v>34.79666666666666</v>
          </cell>
        </row>
        <row r="42">
          <cell r="D42">
            <v>3.1504494094608808</v>
          </cell>
          <cell r="I42">
            <v>24.895</v>
          </cell>
        </row>
        <row r="43">
          <cell r="D43">
            <v>2.1139433523068369</v>
          </cell>
          <cell r="I43">
            <v>28.456666666666667</v>
          </cell>
        </row>
        <row r="44">
          <cell r="D44">
            <v>1.0413926851582251</v>
          </cell>
          <cell r="I44">
            <v>31.95</v>
          </cell>
        </row>
        <row r="45">
          <cell r="D45">
            <v>0</v>
          </cell>
          <cell r="I45">
            <v>35.449999999999996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opLeftCell="A62" workbookViewId="0">
      <selection activeCell="J78" sqref="J78"/>
    </sheetView>
  </sheetViews>
  <sheetFormatPr defaultRowHeight="15" x14ac:dyDescent="0.25"/>
  <cols>
    <col min="1" max="1" width="13" customWidth="1"/>
    <col min="2" max="2" width="14.7109375" customWidth="1"/>
    <col min="3" max="3" width="12.7109375" style="41" customWidth="1"/>
    <col min="4" max="4" width="13.28515625" customWidth="1"/>
    <col min="5" max="5" width="12.28515625" customWidth="1"/>
    <col min="6" max="6" width="11.7109375" customWidth="1"/>
    <col min="7" max="7" width="12.42578125" customWidth="1"/>
    <col min="8" max="8" width="14.28515625" customWidth="1"/>
    <col min="9" max="9" width="13.7109375" customWidth="1"/>
    <col min="10" max="10" width="14.85546875" customWidth="1"/>
    <col min="11" max="11" width="14.42578125" customWidth="1"/>
    <col min="12" max="12" width="21.5703125" customWidth="1"/>
    <col min="13" max="13" width="14.5703125" customWidth="1"/>
    <col min="14" max="14" width="19.28515625" bestFit="1" customWidth="1"/>
    <col min="15" max="15" width="18" customWidth="1"/>
    <col min="16" max="16" width="16.42578125" customWidth="1"/>
  </cols>
  <sheetData>
    <row r="1" spans="1:16" ht="15.75" thickBot="1" x14ac:dyDescent="0.3"/>
    <row r="2" spans="1:16" x14ac:dyDescent="0.25">
      <c r="B2" s="42" t="s">
        <v>85</v>
      </c>
      <c r="C2" s="43"/>
      <c r="D2" s="44"/>
      <c r="E2" s="44"/>
      <c r="F2" s="44"/>
      <c r="G2" s="44"/>
      <c r="H2" s="44"/>
      <c r="I2" s="44"/>
      <c r="J2" s="44"/>
      <c r="K2" s="44"/>
      <c r="L2" s="44"/>
      <c r="M2" s="45"/>
    </row>
    <row r="3" spans="1:16" x14ac:dyDescent="0.25">
      <c r="B3" s="46" t="s">
        <v>86</v>
      </c>
      <c r="C3" s="47"/>
      <c r="D3" s="38"/>
      <c r="E3" s="38"/>
      <c r="F3" s="38"/>
      <c r="G3" s="38"/>
      <c r="H3" s="38"/>
      <c r="I3" s="38"/>
      <c r="J3" s="38"/>
      <c r="K3" s="38"/>
      <c r="M3" s="48"/>
    </row>
    <row r="4" spans="1:16" ht="25.5" customHeight="1" x14ac:dyDescent="0.25">
      <c r="B4" s="46"/>
      <c r="C4" s="47"/>
      <c r="D4" s="38"/>
      <c r="E4" s="382" t="s">
        <v>87</v>
      </c>
      <c r="F4" s="382"/>
      <c r="G4" s="382"/>
      <c r="H4" s="383"/>
      <c r="I4" s="384"/>
      <c r="J4" s="49"/>
      <c r="K4" s="49"/>
      <c r="M4" s="48"/>
    </row>
    <row r="5" spans="1:16" ht="33.4" customHeight="1" x14ac:dyDescent="0.25">
      <c r="A5" t="s">
        <v>88</v>
      </c>
      <c r="B5" s="50" t="s">
        <v>89</v>
      </c>
      <c r="C5" s="47" t="s">
        <v>90</v>
      </c>
      <c r="D5" s="38"/>
      <c r="E5" s="51" t="s">
        <v>91</v>
      </c>
      <c r="F5" s="51" t="s">
        <v>92</v>
      </c>
      <c r="G5" s="51" t="s">
        <v>93</v>
      </c>
      <c r="H5" s="52" t="s">
        <v>94</v>
      </c>
      <c r="I5" s="53"/>
      <c r="J5" s="54"/>
      <c r="K5" s="53"/>
      <c r="M5" s="48"/>
      <c r="O5" s="55" t="s">
        <v>89</v>
      </c>
      <c r="P5" s="55" t="s">
        <v>95</v>
      </c>
    </row>
    <row r="6" spans="1:16" x14ac:dyDescent="0.25">
      <c r="A6" s="56">
        <v>1000</v>
      </c>
      <c r="B6" s="57">
        <v>1414</v>
      </c>
      <c r="C6" s="47">
        <f>LOG(B6)</f>
        <v>3.1504494094608808</v>
      </c>
      <c r="D6" s="38"/>
      <c r="E6" s="14">
        <v>24.43</v>
      </c>
      <c r="F6" s="14">
        <v>24.4</v>
      </c>
      <c r="G6" s="10"/>
      <c r="H6" s="58">
        <f>AVERAGE(E6:F6)</f>
        <v>24.414999999999999</v>
      </c>
      <c r="I6" s="53"/>
      <c r="J6" s="49"/>
      <c r="K6" s="49"/>
      <c r="M6" s="48"/>
      <c r="O6" s="59">
        <v>511</v>
      </c>
      <c r="P6" s="59">
        <v>24.414999999999999</v>
      </c>
    </row>
    <row r="7" spans="1:16" x14ac:dyDescent="0.25">
      <c r="A7">
        <v>100</v>
      </c>
      <c r="B7" s="57">
        <v>130</v>
      </c>
      <c r="C7" s="47">
        <f t="shared" ref="C7:C9" si="0">LOG(B7)</f>
        <v>2.1139433523068369</v>
      </c>
      <c r="D7" s="38"/>
      <c r="E7" s="14">
        <v>28.15</v>
      </c>
      <c r="F7" s="14">
        <v>28.13</v>
      </c>
      <c r="G7" s="60">
        <v>27.97</v>
      </c>
      <c r="H7" s="58">
        <f>AVERAGE(E7:G7)</f>
        <v>28.083333333333332</v>
      </c>
      <c r="I7" s="53"/>
      <c r="J7" s="49"/>
      <c r="K7" s="49"/>
      <c r="M7" s="48"/>
      <c r="O7" s="59">
        <v>50.57</v>
      </c>
      <c r="P7" s="59">
        <v>28.083333333333332</v>
      </c>
    </row>
    <row r="8" spans="1:16" x14ac:dyDescent="0.25">
      <c r="A8">
        <v>10</v>
      </c>
      <c r="B8" s="57">
        <v>11</v>
      </c>
      <c r="C8" s="47">
        <f t="shared" si="0"/>
        <v>1.0413926851582251</v>
      </c>
      <c r="D8" s="38"/>
      <c r="E8" s="14">
        <v>31.66</v>
      </c>
      <c r="F8" s="14">
        <v>31.61</v>
      </c>
      <c r="G8" s="60">
        <v>31.44</v>
      </c>
      <c r="H8" s="58">
        <f>AVERAGE(E8:G8)</f>
        <v>31.569999999999997</v>
      </c>
      <c r="I8" s="53"/>
      <c r="J8" s="49"/>
      <c r="K8" s="49"/>
      <c r="M8" s="48"/>
      <c r="O8" s="59">
        <v>5</v>
      </c>
      <c r="P8" s="59">
        <v>31.569999999999997</v>
      </c>
    </row>
    <row r="9" spans="1:16" x14ac:dyDescent="0.25">
      <c r="A9">
        <v>1</v>
      </c>
      <c r="B9" s="57">
        <v>1</v>
      </c>
      <c r="C9" s="47">
        <f t="shared" si="0"/>
        <v>0</v>
      </c>
      <c r="D9" s="38"/>
      <c r="E9" s="14">
        <v>34.74</v>
      </c>
      <c r="F9" s="14">
        <v>34.39</v>
      </c>
      <c r="G9" s="60">
        <v>35.61</v>
      </c>
      <c r="H9" s="58">
        <f>AVERAGE(E9:G9)</f>
        <v>34.913333333333334</v>
      </c>
      <c r="I9" s="53"/>
      <c r="J9" s="49"/>
      <c r="K9" s="49"/>
      <c r="M9" s="48"/>
      <c r="O9" s="59">
        <v>0.44</v>
      </c>
      <c r="P9" s="59">
        <v>34.913333333333334</v>
      </c>
    </row>
    <row r="10" spans="1:16" x14ac:dyDescent="0.25">
      <c r="B10" s="46"/>
      <c r="C10" s="47"/>
      <c r="D10" s="38"/>
      <c r="E10" s="53"/>
      <c r="F10" s="53"/>
      <c r="G10" s="53"/>
      <c r="H10" s="53"/>
      <c r="I10" s="53"/>
      <c r="J10" s="49"/>
      <c r="K10" s="49"/>
      <c r="M10" s="48"/>
    </row>
    <row r="11" spans="1:16" x14ac:dyDescent="0.25">
      <c r="B11" s="46"/>
      <c r="C11" s="47"/>
      <c r="D11" s="38"/>
      <c r="E11" s="38"/>
      <c r="F11" s="38"/>
      <c r="G11" s="38"/>
      <c r="H11" s="49"/>
      <c r="I11" s="49"/>
      <c r="J11" s="49"/>
      <c r="K11" s="49"/>
      <c r="M11" s="48"/>
    </row>
    <row r="12" spans="1:16" x14ac:dyDescent="0.25">
      <c r="B12" s="46"/>
      <c r="C12" s="47"/>
      <c r="D12" s="38"/>
      <c r="E12" s="38"/>
      <c r="F12" s="38"/>
      <c r="G12" s="38"/>
      <c r="H12" s="49"/>
      <c r="I12" s="49"/>
      <c r="J12" s="49"/>
      <c r="K12" s="49"/>
      <c r="M12" s="48"/>
    </row>
    <row r="13" spans="1:16" x14ac:dyDescent="0.25">
      <c r="B13" s="46"/>
      <c r="C13" s="61" t="s">
        <v>96</v>
      </c>
      <c r="D13" s="38"/>
      <c r="E13" s="38"/>
      <c r="F13" s="62">
        <f>10^(-1/F15)-1</f>
        <v>0.99922463776456438</v>
      </c>
      <c r="G13" s="38"/>
      <c r="H13" s="49"/>
      <c r="I13" s="49"/>
      <c r="J13" s="49"/>
      <c r="K13" s="49"/>
      <c r="M13" s="48"/>
    </row>
    <row r="14" spans="1:16" x14ac:dyDescent="0.25">
      <c r="B14" s="46"/>
      <c r="C14" s="63"/>
      <c r="D14" s="38"/>
      <c r="E14" s="38"/>
      <c r="F14" s="38"/>
      <c r="G14" s="38"/>
      <c r="H14" s="38"/>
      <c r="I14" s="38"/>
      <c r="J14" s="38"/>
      <c r="K14" s="38"/>
      <c r="M14" s="48"/>
    </row>
    <row r="15" spans="1:16" x14ac:dyDescent="0.25">
      <c r="B15" s="46"/>
      <c r="C15" s="64" t="s">
        <v>97</v>
      </c>
      <c r="D15" s="31"/>
      <c r="E15" s="65" t="s">
        <v>98</v>
      </c>
      <c r="F15" s="66">
        <f>LINEST(H6:H9,C6:C9)</f>
        <v>-3.3237874683632591</v>
      </c>
      <c r="J15" s="38"/>
      <c r="K15" s="38"/>
      <c r="M15" s="48"/>
    </row>
    <row r="16" spans="1:16" x14ac:dyDescent="0.25">
      <c r="B16" s="46"/>
      <c r="C16" s="32"/>
      <c r="D16" s="33"/>
      <c r="E16" s="67" t="s">
        <v>99</v>
      </c>
      <c r="F16" s="68">
        <f>INDEX(LINEST(H6:H9,C6:C9),2)</f>
        <v>34.985189328336631</v>
      </c>
      <c r="J16" s="38"/>
      <c r="K16" s="38"/>
      <c r="M16" s="48"/>
    </row>
    <row r="17" spans="1:16" x14ac:dyDescent="0.25">
      <c r="B17" s="46"/>
      <c r="C17" s="34"/>
      <c r="D17" s="35"/>
      <c r="E17" s="69" t="s">
        <v>100</v>
      </c>
      <c r="F17" s="36"/>
      <c r="J17" s="38"/>
      <c r="K17" s="38"/>
      <c r="M17" s="48"/>
    </row>
    <row r="18" spans="1:16" ht="15.75" thickBot="1" x14ac:dyDescent="0.3">
      <c r="B18" s="70"/>
      <c r="C18" s="71"/>
      <c r="D18" s="72"/>
      <c r="E18" s="72"/>
      <c r="F18" s="72"/>
      <c r="G18" s="72"/>
      <c r="H18" s="72"/>
      <c r="I18" s="72"/>
      <c r="J18" s="72"/>
      <c r="K18" s="72"/>
      <c r="L18" s="72"/>
      <c r="M18" s="73"/>
    </row>
    <row r="19" spans="1:16" ht="15.75" thickBot="1" x14ac:dyDescent="0.3"/>
    <row r="20" spans="1:16" x14ac:dyDescent="0.25">
      <c r="B20" s="42" t="s">
        <v>85</v>
      </c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6" x14ac:dyDescent="0.25">
      <c r="B21" s="46" t="s">
        <v>101</v>
      </c>
      <c r="C21" s="47"/>
      <c r="D21" s="38"/>
      <c r="E21" s="38"/>
      <c r="F21" s="38"/>
      <c r="G21" s="38"/>
      <c r="H21" s="38"/>
      <c r="I21" s="38"/>
      <c r="J21" s="38"/>
      <c r="K21" s="38"/>
      <c r="M21" s="48"/>
    </row>
    <row r="22" spans="1:16" ht="28.9" customHeight="1" x14ac:dyDescent="0.25">
      <c r="B22" s="46"/>
      <c r="C22" s="47"/>
      <c r="D22" s="38"/>
      <c r="E22" s="382" t="s">
        <v>102</v>
      </c>
      <c r="F22" s="382"/>
      <c r="G22" s="382"/>
      <c r="H22" s="383"/>
      <c r="I22" s="384"/>
      <c r="J22" s="49"/>
      <c r="K22" s="49"/>
      <c r="M22" s="48"/>
      <c r="O22" s="74" t="s">
        <v>103</v>
      </c>
      <c r="P22" s="74" t="s">
        <v>95</v>
      </c>
    </row>
    <row r="23" spans="1:16" x14ac:dyDescent="0.25">
      <c r="A23" t="s">
        <v>88</v>
      </c>
      <c r="B23" s="46" t="s">
        <v>104</v>
      </c>
      <c r="C23" s="47" t="s">
        <v>90</v>
      </c>
      <c r="D23" s="38" t="s">
        <v>105</v>
      </c>
      <c r="E23" s="75" t="s">
        <v>91</v>
      </c>
      <c r="F23" s="52" t="s">
        <v>92</v>
      </c>
      <c r="G23" s="52" t="s">
        <v>93</v>
      </c>
      <c r="H23" s="52" t="s">
        <v>94</v>
      </c>
      <c r="I23" s="53"/>
      <c r="J23" s="54"/>
      <c r="K23" s="53"/>
      <c r="M23" s="48"/>
      <c r="O23" s="59">
        <v>176.7</v>
      </c>
      <c r="P23" s="59">
        <v>24.725000000000001</v>
      </c>
    </row>
    <row r="24" spans="1:16" x14ac:dyDescent="0.25">
      <c r="A24" s="56">
        <v>1000</v>
      </c>
      <c r="B24" s="57">
        <v>1414</v>
      </c>
      <c r="C24" s="76">
        <f>LOG(B24)</f>
        <v>3.1504494094608808</v>
      </c>
      <c r="D24" s="38"/>
      <c r="E24" s="14">
        <v>24.8</v>
      </c>
      <c r="F24" s="14">
        <v>24.65</v>
      </c>
      <c r="G24" s="10"/>
      <c r="H24" s="52">
        <f>AVERAGE(E24:F24)</f>
        <v>24.725000000000001</v>
      </c>
      <c r="I24" s="53"/>
      <c r="J24" s="49"/>
      <c r="K24" s="49"/>
      <c r="M24" s="48"/>
      <c r="O24" s="59">
        <v>15.87</v>
      </c>
      <c r="P24" s="59">
        <v>28.163333333333338</v>
      </c>
    </row>
    <row r="25" spans="1:16" x14ac:dyDescent="0.25">
      <c r="A25">
        <v>100</v>
      </c>
      <c r="B25" s="57">
        <v>130</v>
      </c>
      <c r="C25" s="76">
        <f t="shared" ref="C25:C27" si="1">LOG(B25)</f>
        <v>2.1139433523068369</v>
      </c>
      <c r="D25" s="38"/>
      <c r="E25" s="14">
        <v>28.2</v>
      </c>
      <c r="F25" s="14">
        <v>28.26</v>
      </c>
      <c r="G25" s="60">
        <v>28.03</v>
      </c>
      <c r="H25" s="52">
        <f>AVERAGE(E25:G25)</f>
        <v>28.163333333333338</v>
      </c>
      <c r="I25" s="53"/>
      <c r="J25" s="49"/>
      <c r="K25" s="49"/>
      <c r="M25" s="48"/>
      <c r="O25" s="59">
        <v>1.37</v>
      </c>
      <c r="P25" s="59">
        <v>31.363333333333333</v>
      </c>
    </row>
    <row r="26" spans="1:16" x14ac:dyDescent="0.25">
      <c r="A26">
        <v>10</v>
      </c>
      <c r="B26" s="57">
        <v>11</v>
      </c>
      <c r="C26" s="76">
        <f t="shared" si="1"/>
        <v>1.0413926851582251</v>
      </c>
      <c r="D26" s="38"/>
      <c r="E26" s="14">
        <v>31.88</v>
      </c>
      <c r="F26" s="14">
        <v>31.13</v>
      </c>
      <c r="G26" s="60">
        <v>31.08</v>
      </c>
      <c r="H26" s="52">
        <f>AVERAGE(E26:G26)</f>
        <v>31.363333333333333</v>
      </c>
      <c r="I26" s="53"/>
      <c r="J26" s="49"/>
      <c r="K26" s="49"/>
      <c r="M26" s="48"/>
      <c r="O26" s="59">
        <v>0.15</v>
      </c>
      <c r="P26" s="59">
        <v>34.79666666666666</v>
      </c>
    </row>
    <row r="27" spans="1:16" x14ac:dyDescent="0.25">
      <c r="A27">
        <v>1</v>
      </c>
      <c r="B27" s="57">
        <v>1</v>
      </c>
      <c r="C27" s="76">
        <f t="shared" si="1"/>
        <v>0</v>
      </c>
      <c r="D27" s="38"/>
      <c r="E27" s="14">
        <v>34.909999999999997</v>
      </c>
      <c r="F27" s="14">
        <v>34.799999999999997</v>
      </c>
      <c r="G27" s="60">
        <v>34.68</v>
      </c>
      <c r="H27" s="52">
        <f>AVERAGE(E27:G27)</f>
        <v>34.79666666666666</v>
      </c>
      <c r="I27" s="53"/>
      <c r="J27" s="49"/>
      <c r="K27" s="49"/>
      <c r="M27" s="48"/>
    </row>
    <row r="28" spans="1:16" x14ac:dyDescent="0.25">
      <c r="B28" s="77"/>
      <c r="C28" s="76"/>
      <c r="D28" s="38"/>
      <c r="E28" s="53"/>
      <c r="F28" s="53"/>
      <c r="G28" s="53"/>
      <c r="H28" s="53"/>
      <c r="I28" s="53"/>
      <c r="J28" s="49"/>
      <c r="K28" s="49"/>
      <c r="M28" s="48"/>
    </row>
    <row r="29" spans="1:16" x14ac:dyDescent="0.25">
      <c r="B29" s="46"/>
      <c r="C29" s="47"/>
      <c r="D29" s="38"/>
      <c r="E29" s="38"/>
      <c r="F29" s="38"/>
      <c r="G29" s="38"/>
      <c r="H29" s="49"/>
      <c r="I29" s="49"/>
      <c r="J29" s="49"/>
      <c r="K29" s="49"/>
      <c r="M29" s="48"/>
    </row>
    <row r="30" spans="1:16" x14ac:dyDescent="0.25">
      <c r="B30" s="46"/>
      <c r="C30" s="61" t="s">
        <v>106</v>
      </c>
      <c r="D30" s="38"/>
      <c r="E30" s="38"/>
      <c r="F30" s="62">
        <f>10^(-1/F31)-1</f>
        <v>1.0653184956734618</v>
      </c>
      <c r="G30" s="38"/>
      <c r="H30" s="49"/>
      <c r="I30" s="49"/>
      <c r="J30" s="49"/>
      <c r="K30" s="49"/>
      <c r="M30" s="48"/>
    </row>
    <row r="31" spans="1:16" x14ac:dyDescent="0.25">
      <c r="B31" s="46"/>
      <c r="C31" s="64" t="s">
        <v>97</v>
      </c>
      <c r="D31" s="31"/>
      <c r="E31" s="65" t="s">
        <v>98</v>
      </c>
      <c r="F31" s="78">
        <f>LINEST(H24:H27,C24:C27)</f>
        <v>-3.1747338494647344</v>
      </c>
      <c r="G31" s="38"/>
      <c r="H31" s="49"/>
      <c r="I31" s="49"/>
      <c r="J31" s="49"/>
      <c r="K31" s="49"/>
      <c r="M31" s="48"/>
    </row>
    <row r="32" spans="1:16" x14ac:dyDescent="0.25">
      <c r="B32" s="46"/>
      <c r="C32" s="32"/>
      <c r="D32" s="33"/>
      <c r="E32" s="67" t="s">
        <v>99</v>
      </c>
      <c r="F32" s="79">
        <f>INDEX(LINEST(H24:H27,C24:C27),2)</f>
        <v>34.766880959787805</v>
      </c>
      <c r="G32" s="38"/>
      <c r="H32" s="49"/>
      <c r="I32" s="49"/>
      <c r="J32" s="49"/>
      <c r="K32" s="49"/>
      <c r="M32" s="48"/>
    </row>
    <row r="33" spans="1:16" x14ac:dyDescent="0.25">
      <c r="B33" s="46"/>
      <c r="C33" s="34"/>
      <c r="D33" s="35"/>
      <c r="E33" s="69" t="s">
        <v>100</v>
      </c>
      <c r="F33" s="36"/>
      <c r="J33" s="38"/>
      <c r="K33" s="38"/>
      <c r="M33" s="48"/>
    </row>
    <row r="34" spans="1:16" x14ac:dyDescent="0.25">
      <c r="B34" s="46"/>
      <c r="C34" s="47"/>
      <c r="D34" s="38"/>
      <c r="E34" s="38"/>
      <c r="J34" s="38"/>
      <c r="K34" s="38"/>
      <c r="M34" s="48"/>
    </row>
    <row r="35" spans="1:16" x14ac:dyDescent="0.25">
      <c r="B35" s="46"/>
      <c r="C35" s="47"/>
      <c r="D35" s="38"/>
      <c r="E35" s="38"/>
      <c r="J35" s="38"/>
      <c r="K35" s="38"/>
      <c r="M35" s="48"/>
    </row>
    <row r="36" spans="1:16" ht="15.75" thickBot="1" x14ac:dyDescent="0.3">
      <c r="B36" s="70"/>
      <c r="C36" s="71"/>
      <c r="D36" s="72"/>
      <c r="E36" s="72"/>
      <c r="F36" s="72"/>
      <c r="G36" s="72"/>
      <c r="H36" s="72"/>
      <c r="I36" s="72"/>
      <c r="J36" s="72"/>
      <c r="K36" s="72"/>
      <c r="L36" s="72"/>
      <c r="M36" s="73"/>
    </row>
    <row r="37" spans="1:16" ht="15.75" thickBot="1" x14ac:dyDescent="0.3">
      <c r="B37" s="38"/>
      <c r="C37" s="47"/>
      <c r="D37" s="38"/>
      <c r="E37" s="38"/>
      <c r="F37" s="38"/>
      <c r="G37" s="38"/>
      <c r="H37" s="38"/>
      <c r="I37" s="38"/>
      <c r="J37" s="38"/>
      <c r="K37" s="38"/>
      <c r="L37" s="38"/>
    </row>
    <row r="38" spans="1:16" x14ac:dyDescent="0.25">
      <c r="B38" s="42" t="s">
        <v>85</v>
      </c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5"/>
    </row>
    <row r="39" spans="1:16" x14ac:dyDescent="0.25">
      <c r="B39" s="46" t="s">
        <v>107</v>
      </c>
      <c r="C39" s="47"/>
      <c r="D39" s="38"/>
      <c r="E39" s="38"/>
      <c r="F39" s="38"/>
      <c r="G39" s="38"/>
      <c r="H39" s="38"/>
      <c r="I39" s="38"/>
      <c r="J39" s="38"/>
      <c r="K39" s="38"/>
      <c r="M39" s="48"/>
    </row>
    <row r="40" spans="1:16" ht="25.5" x14ac:dyDescent="0.25">
      <c r="B40" s="46"/>
      <c r="C40" s="47"/>
      <c r="D40" s="38"/>
      <c r="E40" s="382" t="s">
        <v>108</v>
      </c>
      <c r="F40" s="382"/>
      <c r="G40" s="382"/>
      <c r="H40" s="383"/>
      <c r="I40" s="384"/>
      <c r="J40" s="49"/>
      <c r="K40" s="49"/>
      <c r="M40" s="48"/>
      <c r="O40" s="80" t="s">
        <v>103</v>
      </c>
      <c r="P40" s="80" t="s">
        <v>95</v>
      </c>
    </row>
    <row r="41" spans="1:16" x14ac:dyDescent="0.25">
      <c r="A41" t="s">
        <v>88</v>
      </c>
      <c r="B41" s="46" t="s">
        <v>104</v>
      </c>
      <c r="C41" s="47" t="s">
        <v>90</v>
      </c>
      <c r="D41" s="38" t="s">
        <v>105</v>
      </c>
      <c r="E41" s="75" t="s">
        <v>91</v>
      </c>
      <c r="F41" s="52" t="s">
        <v>92</v>
      </c>
      <c r="G41" s="52" t="s">
        <v>93</v>
      </c>
      <c r="H41" s="52" t="s">
        <v>94</v>
      </c>
      <c r="I41" s="53"/>
      <c r="J41" s="54"/>
      <c r="K41" s="53"/>
      <c r="M41" s="48"/>
      <c r="O41" s="59">
        <v>176.9</v>
      </c>
      <c r="P41" s="59">
        <v>24.895</v>
      </c>
    </row>
    <row r="42" spans="1:16" x14ac:dyDescent="0.25">
      <c r="A42" s="56">
        <v>1000</v>
      </c>
      <c r="B42" s="57">
        <v>1414</v>
      </c>
      <c r="C42" s="76">
        <f>LOG(B42)</f>
        <v>3.1504494094608808</v>
      </c>
      <c r="D42" s="38"/>
      <c r="E42" s="14">
        <v>24.93</v>
      </c>
      <c r="F42" s="14">
        <v>24.86</v>
      </c>
      <c r="G42" s="10"/>
      <c r="H42" s="52">
        <f>AVERAGE(E42:F42)</f>
        <v>24.895</v>
      </c>
      <c r="I42" s="53"/>
      <c r="J42" s="49"/>
      <c r="K42" s="49"/>
      <c r="M42" s="48"/>
      <c r="O42" s="59">
        <v>16.77</v>
      </c>
      <c r="P42" s="59">
        <v>28.456666666666667</v>
      </c>
    </row>
    <row r="43" spans="1:16" x14ac:dyDescent="0.25">
      <c r="A43">
        <v>100</v>
      </c>
      <c r="B43" s="57">
        <v>130</v>
      </c>
      <c r="C43" s="76">
        <f t="shared" ref="C43:C45" si="2">LOG(B43)</f>
        <v>2.1139433523068369</v>
      </c>
      <c r="D43" s="38"/>
      <c r="E43" s="14">
        <v>28.38</v>
      </c>
      <c r="F43" s="14">
        <v>28.65</v>
      </c>
      <c r="G43" s="60">
        <v>28.34</v>
      </c>
      <c r="H43" s="52">
        <f>AVERAGE(E43:G43)</f>
        <v>28.456666666666667</v>
      </c>
      <c r="I43" s="53"/>
      <c r="J43" s="49"/>
      <c r="K43" s="49"/>
      <c r="M43" s="48"/>
      <c r="O43" s="59">
        <v>1.43</v>
      </c>
      <c r="P43" s="59">
        <v>31.95</v>
      </c>
    </row>
    <row r="44" spans="1:16" x14ac:dyDescent="0.25">
      <c r="A44">
        <v>10</v>
      </c>
      <c r="B44" s="57">
        <v>11</v>
      </c>
      <c r="C44" s="76">
        <f t="shared" si="2"/>
        <v>1.0413926851582251</v>
      </c>
      <c r="D44" s="38"/>
      <c r="E44" s="14">
        <v>31.97</v>
      </c>
      <c r="F44" s="14">
        <v>32.01</v>
      </c>
      <c r="G44" s="60">
        <v>31.87</v>
      </c>
      <c r="H44" s="52">
        <f>AVERAGE(E44:G44)</f>
        <v>31.95</v>
      </c>
      <c r="I44" s="53"/>
      <c r="J44" s="49"/>
      <c r="K44" s="49"/>
      <c r="M44" s="48"/>
      <c r="O44" s="59">
        <v>0.13700000000000001</v>
      </c>
      <c r="P44" s="59">
        <v>35.449999999999996</v>
      </c>
    </row>
    <row r="45" spans="1:16" x14ac:dyDescent="0.25">
      <c r="A45">
        <v>1</v>
      </c>
      <c r="B45" s="57">
        <v>1</v>
      </c>
      <c r="C45" s="76">
        <f t="shared" si="2"/>
        <v>0</v>
      </c>
      <c r="D45" s="38"/>
      <c r="E45" s="14">
        <v>36.200000000000003</v>
      </c>
      <c r="F45" s="14">
        <v>34.67</v>
      </c>
      <c r="G45" s="60">
        <v>35.479999999999997</v>
      </c>
      <c r="H45" s="52">
        <f>AVERAGE(E45:G45)</f>
        <v>35.449999999999996</v>
      </c>
      <c r="I45" s="53"/>
      <c r="J45" s="49"/>
      <c r="K45" s="49"/>
      <c r="M45" s="48"/>
    </row>
    <row r="46" spans="1:16" x14ac:dyDescent="0.25">
      <c r="B46" s="77"/>
      <c r="C46" s="76"/>
      <c r="D46" s="38"/>
      <c r="E46" s="53"/>
      <c r="F46" s="53"/>
      <c r="G46" s="53"/>
      <c r="H46" s="53"/>
      <c r="I46" s="53"/>
      <c r="J46" s="49"/>
      <c r="K46" s="49"/>
      <c r="M46" s="48"/>
    </row>
    <row r="47" spans="1:16" x14ac:dyDescent="0.25">
      <c r="B47" s="46"/>
      <c r="C47" s="47"/>
      <c r="D47" s="38"/>
      <c r="E47" s="38"/>
      <c r="F47" s="38"/>
      <c r="G47" s="38"/>
      <c r="H47" s="49"/>
      <c r="I47" s="49"/>
      <c r="J47" s="49"/>
      <c r="K47" s="49"/>
      <c r="M47" s="48"/>
    </row>
    <row r="48" spans="1:16" x14ac:dyDescent="0.25">
      <c r="B48" s="46"/>
      <c r="C48" s="61" t="s">
        <v>106</v>
      </c>
      <c r="D48" s="38"/>
      <c r="E48" s="38"/>
      <c r="F48" s="62">
        <f>10^(-1/F49)-1</f>
        <v>0.99226242797098152</v>
      </c>
      <c r="G48" s="38"/>
      <c r="H48" s="49"/>
      <c r="I48" s="49"/>
      <c r="J48" s="49"/>
      <c r="K48" s="49"/>
      <c r="M48" s="48"/>
    </row>
    <row r="49" spans="2:13" x14ac:dyDescent="0.25">
      <c r="B49" s="46"/>
      <c r="C49" s="64" t="s">
        <v>97</v>
      </c>
      <c r="D49" s="31"/>
      <c r="E49" s="65" t="s">
        <v>98</v>
      </c>
      <c r="F49" s="78">
        <f>LINEST(H42:H45,C42:C45)</f>
        <v>-3.3406097974071534</v>
      </c>
      <c r="G49" s="38"/>
      <c r="H49" s="49"/>
      <c r="I49" s="49"/>
      <c r="J49" s="49"/>
      <c r="K49" s="49"/>
      <c r="M49" s="48"/>
    </row>
    <row r="50" spans="2:13" x14ac:dyDescent="0.25">
      <c r="B50" s="46"/>
      <c r="C50" s="32"/>
      <c r="D50" s="33"/>
      <c r="E50" s="67" t="s">
        <v>99</v>
      </c>
      <c r="F50" s="79">
        <f>INDEX(LINEST(H42:H45,C42:C45),2)</f>
        <v>35.454208827753732</v>
      </c>
      <c r="G50" s="38"/>
      <c r="H50" s="49"/>
      <c r="I50" s="49"/>
      <c r="J50" s="49"/>
      <c r="K50" s="49"/>
      <c r="M50" s="48"/>
    </row>
    <row r="51" spans="2:13" x14ac:dyDescent="0.25">
      <c r="B51" s="46"/>
      <c r="C51" s="34"/>
      <c r="D51" s="35"/>
      <c r="E51" s="69" t="s">
        <v>100</v>
      </c>
      <c r="F51" s="36"/>
      <c r="J51" s="38"/>
      <c r="K51" s="38"/>
      <c r="M51" s="48"/>
    </row>
    <row r="52" spans="2:13" x14ac:dyDescent="0.25">
      <c r="B52" s="46"/>
      <c r="C52" s="47"/>
      <c r="D52" s="38"/>
      <c r="E52" s="38"/>
      <c r="J52" s="38"/>
      <c r="K52" s="38"/>
      <c r="M52" s="48"/>
    </row>
    <row r="53" spans="2:13" x14ac:dyDescent="0.25">
      <c r="B53" s="46"/>
      <c r="C53" s="47"/>
      <c r="D53" s="38"/>
      <c r="E53" s="38"/>
      <c r="J53" s="38"/>
      <c r="K53" s="38"/>
      <c r="M53" s="48"/>
    </row>
    <row r="54" spans="2:13" ht="15.75" thickBot="1" x14ac:dyDescent="0.3">
      <c r="B54" s="70"/>
      <c r="C54" s="71"/>
      <c r="D54" s="72"/>
      <c r="E54" s="72"/>
      <c r="F54" s="72"/>
      <c r="G54" s="72"/>
      <c r="H54" s="72"/>
      <c r="I54" s="72"/>
      <c r="J54" s="72"/>
      <c r="K54" s="72"/>
      <c r="L54" s="72"/>
      <c r="M54" s="73"/>
    </row>
    <row r="55" spans="2:13" x14ac:dyDescent="0.25">
      <c r="B55" s="38"/>
      <c r="C55" s="47"/>
      <c r="D55" s="38"/>
      <c r="E55" s="38"/>
      <c r="F55" s="38"/>
      <c r="G55" s="38"/>
      <c r="H55" s="38"/>
      <c r="I55" s="38"/>
      <c r="J55" s="38"/>
      <c r="K55" s="38"/>
      <c r="L55" s="38"/>
    </row>
    <row r="56" spans="2:13" x14ac:dyDescent="0.25">
      <c r="B56" s="38"/>
      <c r="C56" s="47"/>
      <c r="D56" s="38"/>
      <c r="E56" s="38"/>
      <c r="F56" s="38"/>
      <c r="G56" s="38"/>
      <c r="H56" s="38"/>
      <c r="I56" s="38"/>
      <c r="J56" s="38"/>
      <c r="K56" s="38"/>
      <c r="L56" s="38"/>
    </row>
    <row r="57" spans="2:13" x14ac:dyDescent="0.25">
      <c r="B57" s="81" t="s">
        <v>109</v>
      </c>
      <c r="C57" s="47"/>
      <c r="D57" s="38"/>
      <c r="E57" s="38"/>
      <c r="F57" s="38"/>
      <c r="G57" s="38"/>
      <c r="H57" s="38"/>
      <c r="I57" s="38"/>
      <c r="J57" s="38"/>
      <c r="K57" s="38"/>
      <c r="L57" s="38"/>
    </row>
    <row r="58" spans="2:13" x14ac:dyDescent="0.25">
      <c r="B58" s="38"/>
      <c r="C58" s="47"/>
      <c r="D58" s="38"/>
      <c r="E58" s="38"/>
      <c r="F58" s="38"/>
      <c r="G58" s="38"/>
      <c r="H58" s="38"/>
      <c r="I58" s="38"/>
      <c r="J58" s="38"/>
      <c r="K58" s="38"/>
      <c r="L58" s="38"/>
    </row>
    <row r="59" spans="2:13" ht="39" thickBot="1" x14ac:dyDescent="0.3">
      <c r="B59" s="38"/>
      <c r="C59" s="82"/>
      <c r="D59" s="82" t="s">
        <v>110</v>
      </c>
      <c r="E59" s="83" t="s">
        <v>111</v>
      </c>
      <c r="F59" s="84" t="s">
        <v>112</v>
      </c>
      <c r="G59" s="85" t="s">
        <v>113</v>
      </c>
      <c r="H59" s="83" t="s">
        <v>114</v>
      </c>
      <c r="I59" s="84" t="s">
        <v>115</v>
      </c>
      <c r="J59" s="84" t="s">
        <v>116</v>
      </c>
      <c r="K59" s="86" t="s">
        <v>117</v>
      </c>
      <c r="L59" s="85" t="s">
        <v>118</v>
      </c>
      <c r="M59" s="87" t="s">
        <v>119</v>
      </c>
    </row>
    <row r="60" spans="2:13" ht="13.9" customHeight="1" x14ac:dyDescent="0.25">
      <c r="B60" s="38"/>
      <c r="C60" s="88">
        <v>1</v>
      </c>
      <c r="D60" s="89" t="s">
        <v>120</v>
      </c>
      <c r="E60" s="164">
        <f>(28.49+28.39)/2</f>
        <v>28.439999999999998</v>
      </c>
      <c r="F60" s="90">
        <v>39.11</v>
      </c>
      <c r="G60" s="90">
        <v>31.08</v>
      </c>
      <c r="H60" s="91">
        <f>(E60-$F$16)/$F$15</f>
        <v>1.9691961025292923</v>
      </c>
      <c r="I60" s="92">
        <f>10^H60</f>
        <v>93.152840542486302</v>
      </c>
      <c r="J60" s="93">
        <f>(F60-$F$32)/$F$31</f>
        <v>-1.3680261861776071</v>
      </c>
      <c r="K60" s="94">
        <f>10^J60</f>
        <v>4.2852268145676435E-2</v>
      </c>
      <c r="L60" s="91">
        <f>(G60-$F$50)/$F$49</f>
        <v>1.3094042983256584</v>
      </c>
      <c r="M60" s="95">
        <f>10^L60</f>
        <v>20.389393068887529</v>
      </c>
    </row>
    <row r="61" spans="2:13" x14ac:dyDescent="0.25">
      <c r="B61" s="38"/>
      <c r="C61" s="96">
        <v>2</v>
      </c>
      <c r="D61" s="97" t="s">
        <v>64</v>
      </c>
      <c r="E61" s="98">
        <v>24.745000000000001</v>
      </c>
      <c r="F61" s="98">
        <v>29.74</v>
      </c>
      <c r="G61" s="98">
        <v>32.89</v>
      </c>
      <c r="H61" s="91">
        <f>(E61-$F$16)/$F$15</f>
        <v>3.0808796969738959</v>
      </c>
      <c r="I61" s="92">
        <f>10^H61</f>
        <v>1204.7021820597849</v>
      </c>
      <c r="J61" s="93">
        <f>(F61-$F$32)/$F$31</f>
        <v>1.5834023254060645</v>
      </c>
      <c r="K61" s="94">
        <f>10^J61</f>
        <v>38.317955206985822</v>
      </c>
      <c r="L61" s="91">
        <f>(G61-$F$50)/$F$49</f>
        <v>0.76758705244293024</v>
      </c>
      <c r="M61" s="95">
        <f>10^L61</f>
        <v>5.8558110174638989</v>
      </c>
    </row>
    <row r="62" spans="2:13" x14ac:dyDescent="0.25">
      <c r="B62" s="38"/>
      <c r="C62" s="88">
        <v>3</v>
      </c>
      <c r="D62" s="89" t="s">
        <v>65</v>
      </c>
      <c r="E62" s="90">
        <v>22.69</v>
      </c>
      <c r="F62" s="90">
        <v>34.31</v>
      </c>
      <c r="G62" s="90">
        <v>31.184999999999999</v>
      </c>
      <c r="H62" s="91">
        <f>(E62-$F$16)/$F$15</f>
        <v>3.6991502752103402</v>
      </c>
      <c r="I62" s="92">
        <f>10^H62</f>
        <v>5002.0758759464334</v>
      </c>
      <c r="J62" s="93">
        <f>(F62-$F$32)/$F$31</f>
        <v>0.14391157856109227</v>
      </c>
      <c r="K62" s="94">
        <f>10^J62</f>
        <v>1.3928731880364604</v>
      </c>
      <c r="L62" s="91">
        <f>(G62-$F$50)/$F$49</f>
        <v>1.2779729111335663</v>
      </c>
      <c r="M62" s="95">
        <f>10^L62</f>
        <v>18.965876189688871</v>
      </c>
    </row>
    <row r="63" spans="2:13" x14ac:dyDescent="0.25">
      <c r="B63" s="38"/>
      <c r="C63" s="96">
        <v>4</v>
      </c>
      <c r="D63" s="97" t="s">
        <v>66</v>
      </c>
      <c r="E63" s="99">
        <v>25.664999999999999</v>
      </c>
      <c r="F63" s="99" t="s">
        <v>41</v>
      </c>
      <c r="G63" s="99">
        <v>34.045000000000002</v>
      </c>
      <c r="H63" s="91">
        <f>(E63-$F$16)/$F$15</f>
        <v>2.8040870293449287</v>
      </c>
      <c r="I63" s="92">
        <f>10^H63</f>
        <v>636.92314272348983</v>
      </c>
      <c r="J63" s="93" t="e">
        <f>(F63-$F$32)/$F$31</f>
        <v>#VALUE!</v>
      </c>
      <c r="K63" s="94" t="e">
        <f>10^J63</f>
        <v>#VALUE!</v>
      </c>
      <c r="L63" s="91">
        <f>(G63-$F$50)/$F$49</f>
        <v>0.42184179332991872</v>
      </c>
      <c r="M63" s="95">
        <f>10^L63</f>
        <v>2.6414463445508338</v>
      </c>
    </row>
    <row r="64" spans="2:13" x14ac:dyDescent="0.25">
      <c r="B64" s="38"/>
      <c r="C64" s="88">
        <v>3</v>
      </c>
      <c r="D64" s="89" t="s">
        <v>65</v>
      </c>
      <c r="E64" s="90">
        <v>22.69</v>
      </c>
      <c r="F64" s="90">
        <v>30.81</v>
      </c>
      <c r="G64" s="90">
        <v>31.184999999999999</v>
      </c>
      <c r="H64" s="91">
        <f>(E64-$F$16)/$F$15</f>
        <v>3.6991502752103402</v>
      </c>
      <c r="I64" s="92">
        <f>10^H64</f>
        <v>5002.0758759464334</v>
      </c>
      <c r="J64" s="93">
        <f>(F64-$F$32)/$F$31</f>
        <v>1.2463661986830623</v>
      </c>
      <c r="K64" s="94">
        <f>10^J64</f>
        <v>17.63462377559479</v>
      </c>
      <c r="L64" s="91">
        <f>(G64-$F$50)/$F$49</f>
        <v>1.2779729111335663</v>
      </c>
      <c r="M64" s="95">
        <f>10^L64</f>
        <v>18.965876189688871</v>
      </c>
    </row>
    <row r="65" spans="2:14" x14ac:dyDescent="0.25">
      <c r="B65" s="38"/>
      <c r="C65" s="96"/>
      <c r="D65" s="97"/>
      <c r="E65" s="99"/>
      <c r="F65" s="99"/>
      <c r="G65" s="99"/>
      <c r="H65" s="91"/>
      <c r="I65" s="92"/>
      <c r="J65" s="93"/>
      <c r="K65" s="94"/>
      <c r="L65" s="91"/>
      <c r="M65" s="95"/>
    </row>
    <row r="66" spans="2:14" x14ac:dyDescent="0.25">
      <c r="B66" s="38"/>
      <c r="C66" s="96"/>
      <c r="D66" s="97"/>
      <c r="E66" s="99"/>
      <c r="F66" s="99"/>
      <c r="G66" s="99"/>
      <c r="H66" s="93"/>
      <c r="I66" s="100"/>
      <c r="J66" s="91"/>
      <c r="K66" s="101"/>
      <c r="L66" s="38"/>
    </row>
    <row r="67" spans="2:14" x14ac:dyDescent="0.25">
      <c r="B67" s="38"/>
      <c r="C67" s="96"/>
      <c r="E67" s="385" t="s">
        <v>121</v>
      </c>
      <c r="F67" s="385"/>
      <c r="G67" s="385"/>
      <c r="H67" s="385" t="s">
        <v>122</v>
      </c>
      <c r="I67" s="385"/>
      <c r="J67" s="385"/>
      <c r="K67" s="101"/>
      <c r="L67" s="38"/>
    </row>
    <row r="68" spans="2:14" ht="39" thickBot="1" x14ac:dyDescent="0.3">
      <c r="B68" s="38"/>
      <c r="C68" s="96"/>
      <c r="D68" s="102" t="s">
        <v>110</v>
      </c>
      <c r="E68" s="55" t="s">
        <v>123</v>
      </c>
      <c r="F68" s="74" t="s">
        <v>124</v>
      </c>
      <c r="G68" s="80" t="s">
        <v>125</v>
      </c>
      <c r="H68" s="55" t="s">
        <v>115</v>
      </c>
      <c r="I68" s="74" t="s">
        <v>117</v>
      </c>
      <c r="J68" s="80" t="s">
        <v>119</v>
      </c>
      <c r="K68" s="103"/>
      <c r="L68" s="104" t="s">
        <v>126</v>
      </c>
      <c r="M68" s="105" t="s">
        <v>127</v>
      </c>
      <c r="N68" s="386" t="s">
        <v>128</v>
      </c>
    </row>
    <row r="69" spans="2:14" x14ac:dyDescent="0.25">
      <c r="B69" s="38"/>
      <c r="C69" s="88">
        <v>1</v>
      </c>
      <c r="D69" s="106" t="s">
        <v>120</v>
      </c>
      <c r="E69" s="107" t="s">
        <v>129</v>
      </c>
      <c r="F69" s="107" t="s">
        <v>130</v>
      </c>
      <c r="G69" s="107" t="s">
        <v>131</v>
      </c>
      <c r="H69" s="107" t="s">
        <v>129</v>
      </c>
      <c r="I69" s="107" t="s">
        <v>130</v>
      </c>
      <c r="J69" s="107" t="s">
        <v>131</v>
      </c>
      <c r="K69" s="103"/>
      <c r="L69" s="104"/>
      <c r="M69" s="105"/>
      <c r="N69" s="386"/>
    </row>
    <row r="70" spans="2:14" x14ac:dyDescent="0.25">
      <c r="B70" s="38"/>
      <c r="C70" s="96">
        <v>2</v>
      </c>
      <c r="D70" t="s">
        <v>132</v>
      </c>
      <c r="E70" s="99" t="s">
        <v>41</v>
      </c>
      <c r="F70" s="90">
        <v>39.11</v>
      </c>
      <c r="G70" s="99" t="s">
        <v>41</v>
      </c>
      <c r="H70" s="108"/>
      <c r="I70" s="107">
        <f>K60</f>
        <v>4.2852268145676435E-2</v>
      </c>
      <c r="J70" s="108"/>
      <c r="K70" s="109"/>
      <c r="L70" s="108">
        <f>I70*150/300</f>
        <v>2.1426134072838218E-2</v>
      </c>
      <c r="M70" s="110">
        <f>L70-K70</f>
        <v>2.1426134072838218E-2</v>
      </c>
      <c r="N70" s="14"/>
    </row>
    <row r="71" spans="2:14" x14ac:dyDescent="0.25">
      <c r="C71" s="88">
        <v>3</v>
      </c>
      <c r="D71" t="s">
        <v>133</v>
      </c>
      <c r="E71" s="99" t="s">
        <v>41</v>
      </c>
      <c r="F71" s="98">
        <v>29.74</v>
      </c>
      <c r="G71" s="99" t="s">
        <v>41</v>
      </c>
      <c r="H71" s="108"/>
      <c r="I71" s="107">
        <f t="shared" ref="I71" si="3">K61</f>
        <v>38.317955206985822</v>
      </c>
      <c r="J71" s="108"/>
      <c r="K71" s="109"/>
      <c r="L71" s="108">
        <f t="shared" ref="L71:L74" si="4">I71*150/300</f>
        <v>19.158977603492911</v>
      </c>
      <c r="M71" s="110">
        <f t="shared" ref="M71:M74" si="5">L71-K71</f>
        <v>19.158977603492911</v>
      </c>
      <c r="N71" s="14"/>
    </row>
    <row r="72" spans="2:14" x14ac:dyDescent="0.25">
      <c r="C72" s="96">
        <v>4</v>
      </c>
      <c r="D72" t="s">
        <v>134</v>
      </c>
      <c r="E72" s="99" t="s">
        <v>41</v>
      </c>
      <c r="F72" s="90">
        <v>34.31</v>
      </c>
      <c r="G72" s="99" t="s">
        <v>41</v>
      </c>
      <c r="H72" s="108"/>
      <c r="I72" s="107">
        <f>K62</f>
        <v>1.3928731880364604</v>
      </c>
      <c r="J72" s="108"/>
      <c r="K72" s="109"/>
      <c r="L72" s="108">
        <f t="shared" si="4"/>
        <v>0.69643659401823022</v>
      </c>
      <c r="M72" s="110">
        <f t="shared" si="5"/>
        <v>0.69643659401823022</v>
      </c>
      <c r="N72" s="14"/>
    </row>
    <row r="73" spans="2:14" x14ac:dyDescent="0.25">
      <c r="C73" s="96"/>
      <c r="D73" t="s">
        <v>135</v>
      </c>
      <c r="E73" s="99" t="s">
        <v>41</v>
      </c>
      <c r="F73" s="99" t="s">
        <v>41</v>
      </c>
      <c r="G73" s="99" t="s">
        <v>41</v>
      </c>
      <c r="H73" s="108"/>
      <c r="I73" s="107" t="e">
        <f>K63</f>
        <v>#VALUE!</v>
      </c>
      <c r="J73" s="108"/>
      <c r="K73" s="109"/>
      <c r="L73" s="108" t="e">
        <f t="shared" si="4"/>
        <v>#VALUE!</v>
      </c>
      <c r="M73" s="110" t="e">
        <f t="shared" si="5"/>
        <v>#VALUE!</v>
      </c>
    </row>
    <row r="74" spans="2:14" ht="15" customHeight="1" x14ac:dyDescent="0.25">
      <c r="C74" s="96"/>
      <c r="D74" t="s">
        <v>136</v>
      </c>
      <c r="E74" s="99" t="s">
        <v>41</v>
      </c>
      <c r="F74" s="98">
        <v>30.81</v>
      </c>
      <c r="G74" s="99" t="s">
        <v>41</v>
      </c>
      <c r="H74" s="108"/>
      <c r="I74" s="107">
        <f>K64</f>
        <v>17.63462377559479</v>
      </c>
      <c r="J74" s="108"/>
      <c r="K74" s="109"/>
      <c r="L74" s="108">
        <f t="shared" si="4"/>
        <v>8.8173118877973948</v>
      </c>
      <c r="M74" s="110">
        <f t="shared" si="5"/>
        <v>8.8173118877973948</v>
      </c>
    </row>
    <row r="75" spans="2:14" ht="15" customHeight="1" x14ac:dyDescent="0.25">
      <c r="C75" s="96"/>
      <c r="D75" s="97"/>
      <c r="E75" s="99"/>
      <c r="F75" s="98"/>
      <c r="G75" s="99"/>
      <c r="H75" s="93"/>
      <c r="I75" s="100"/>
      <c r="J75" s="91"/>
      <c r="K75" s="101"/>
    </row>
    <row r="76" spans="2:14" x14ac:dyDescent="0.25">
      <c r="C76" s="96"/>
      <c r="D76" s="97"/>
      <c r="E76" s="99"/>
      <c r="F76" s="99"/>
      <c r="G76" s="99" t="s">
        <v>130</v>
      </c>
      <c r="H76" s="93"/>
      <c r="I76" s="100"/>
      <c r="J76" s="91"/>
      <c r="K76" s="101"/>
    </row>
    <row r="77" spans="2:14" x14ac:dyDescent="0.25">
      <c r="C77" s="96"/>
      <c r="D77" s="97"/>
      <c r="E77" s="111" t="s">
        <v>132</v>
      </c>
      <c r="F77" s="99">
        <v>36.07</v>
      </c>
      <c r="G77" s="387">
        <f>AVERAGE(F77:F78)</f>
        <v>39.11</v>
      </c>
      <c r="H77" s="93"/>
      <c r="I77" s="112"/>
      <c r="J77" s="91"/>
      <c r="K77" s="101"/>
    </row>
    <row r="78" spans="2:14" x14ac:dyDescent="0.25">
      <c r="C78" s="96"/>
      <c r="D78" s="97"/>
      <c r="E78" t="s">
        <v>132</v>
      </c>
      <c r="F78" s="6">
        <v>42.15</v>
      </c>
      <c r="G78" s="388"/>
      <c r="H78" s="93"/>
      <c r="I78" s="100"/>
      <c r="J78" s="91"/>
      <c r="K78" s="101"/>
    </row>
    <row r="79" spans="2:14" x14ac:dyDescent="0.25">
      <c r="C79" s="96"/>
      <c r="D79" s="97"/>
      <c r="E79" t="s">
        <v>133</v>
      </c>
      <c r="F79" s="6">
        <v>29.69</v>
      </c>
      <c r="G79" s="387">
        <f>AVERAGE(F79:F80)</f>
        <v>29.734999999999999</v>
      </c>
      <c r="H79" s="93"/>
      <c r="I79" s="100"/>
      <c r="J79" s="91"/>
      <c r="K79" s="101"/>
    </row>
    <row r="80" spans="2:14" x14ac:dyDescent="0.25">
      <c r="C80" s="96"/>
      <c r="D80" s="97"/>
      <c r="E80" t="s">
        <v>133</v>
      </c>
      <c r="F80" s="6">
        <v>29.78</v>
      </c>
      <c r="G80" s="388"/>
      <c r="H80" s="93"/>
      <c r="I80" s="99"/>
      <c r="J80" s="91"/>
      <c r="K80" s="101"/>
    </row>
    <row r="81" spans="5:7" x14ac:dyDescent="0.25">
      <c r="E81" t="s">
        <v>134</v>
      </c>
      <c r="F81" s="6">
        <v>34.270000000000003</v>
      </c>
      <c r="G81" s="387">
        <f>AVERAGE(F81:F82)</f>
        <v>34.31</v>
      </c>
    </row>
    <row r="82" spans="5:7" x14ac:dyDescent="0.25">
      <c r="E82" t="s">
        <v>134</v>
      </c>
      <c r="F82" s="6">
        <v>34.35</v>
      </c>
      <c r="G82" s="388"/>
    </row>
    <row r="83" spans="5:7" x14ac:dyDescent="0.25">
      <c r="E83" t="s">
        <v>135</v>
      </c>
      <c r="F83" s="6" t="s">
        <v>82</v>
      </c>
      <c r="G83" s="387" t="e">
        <f>AVERAGE(F83:F84)</f>
        <v>#DIV/0!</v>
      </c>
    </row>
    <row r="84" spans="5:7" x14ac:dyDescent="0.25">
      <c r="E84" t="s">
        <v>135</v>
      </c>
      <c r="F84" s="6" t="s">
        <v>82</v>
      </c>
      <c r="G84" s="388"/>
    </row>
    <row r="85" spans="5:7" x14ac:dyDescent="0.25">
      <c r="E85" t="s">
        <v>137</v>
      </c>
      <c r="F85" s="6" t="s">
        <v>82</v>
      </c>
      <c r="G85" s="387" t="e">
        <f>AVERAGE(F85:F86)</f>
        <v>#DIV/0!</v>
      </c>
    </row>
    <row r="86" spans="5:7" x14ac:dyDescent="0.25">
      <c r="E86" t="s">
        <v>137</v>
      </c>
      <c r="F86" s="6" t="s">
        <v>82</v>
      </c>
      <c r="G86" s="388"/>
    </row>
    <row r="87" spans="5:7" x14ac:dyDescent="0.25">
      <c r="E87" t="s">
        <v>136</v>
      </c>
      <c r="F87" s="6">
        <v>31.01</v>
      </c>
      <c r="G87" s="387">
        <f>AVERAGE(F87:F88)</f>
        <v>30.810000000000002</v>
      </c>
    </row>
    <row r="88" spans="5:7" x14ac:dyDescent="0.25">
      <c r="E88" t="s">
        <v>136</v>
      </c>
      <c r="F88" s="6">
        <v>30.61</v>
      </c>
      <c r="G88" s="388"/>
    </row>
    <row r="99" spans="7:7" x14ac:dyDescent="0.25">
      <c r="G99" s="389"/>
    </row>
    <row r="100" spans="7:7" x14ac:dyDescent="0.25">
      <c r="G100" s="389"/>
    </row>
  </sheetData>
  <mergeCells count="16">
    <mergeCell ref="G83:G84"/>
    <mergeCell ref="G85:G86"/>
    <mergeCell ref="G87:G88"/>
    <mergeCell ref="G99:G100"/>
    <mergeCell ref="E67:G67"/>
    <mergeCell ref="H67:J67"/>
    <mergeCell ref="N68:N69"/>
    <mergeCell ref="G77:G78"/>
    <mergeCell ref="G79:G80"/>
    <mergeCell ref="G81:G82"/>
    <mergeCell ref="E4:G4"/>
    <mergeCell ref="H4:I4"/>
    <mergeCell ref="E22:G22"/>
    <mergeCell ref="H22:I22"/>
    <mergeCell ref="E40:G40"/>
    <mergeCell ref="H40:I40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abSelected="1" topLeftCell="B1" zoomScale="90" zoomScaleNormal="90" workbookViewId="0">
      <pane ySplit="6" topLeftCell="A10" activePane="bottomLeft" state="frozen"/>
      <selection pane="bottomLeft" activeCell="P19" sqref="P19"/>
    </sheetView>
  </sheetViews>
  <sheetFormatPr defaultRowHeight="15" x14ac:dyDescent="0.25"/>
  <cols>
    <col min="2" max="2" width="1.42578125" customWidth="1"/>
    <col min="3" max="3" width="35.28515625" customWidth="1"/>
    <col min="4" max="4" width="7.42578125" hidden="1" customWidth="1"/>
    <col min="5" max="5" width="8.7109375" hidden="1" customWidth="1"/>
    <col min="6" max="7" width="14" hidden="1" customWidth="1"/>
    <col min="8" max="8" width="11.7109375" customWidth="1"/>
    <col min="9" max="9" width="11" customWidth="1"/>
    <col min="10" max="10" width="11.140625" customWidth="1"/>
    <col min="11" max="11" width="8.7109375" bestFit="1" customWidth="1"/>
    <col min="12" max="12" width="11.42578125" style="41" bestFit="1" customWidth="1"/>
    <col min="13" max="13" width="16.5703125" style="41" bestFit="1" customWidth="1"/>
    <col min="14" max="14" width="13.85546875" style="41" bestFit="1" customWidth="1"/>
    <col min="15" max="15" width="11.7109375" style="41" bestFit="1" customWidth="1"/>
    <col min="16" max="16" width="19.7109375" style="41" bestFit="1" customWidth="1"/>
    <col min="17" max="17" width="13.85546875" style="41" bestFit="1" customWidth="1"/>
    <col min="18" max="20" width="12.42578125" customWidth="1"/>
  </cols>
  <sheetData>
    <row r="1" spans="1:20" ht="15.75" hidden="1" thickBot="1" x14ac:dyDescent="0.3">
      <c r="A1" t="s">
        <v>180</v>
      </c>
      <c r="L1" s="125" t="s">
        <v>97</v>
      </c>
      <c r="M1" s="126" t="s">
        <v>98</v>
      </c>
      <c r="N1" s="127">
        <f>'Leg-Stds'!F15</f>
        <v>-3.3237874683632591</v>
      </c>
      <c r="R1" s="404" t="s">
        <v>148</v>
      </c>
      <c r="S1" s="405"/>
      <c r="T1" s="406"/>
    </row>
    <row r="2" spans="1:20" ht="15.75" hidden="1" thickBot="1" x14ac:dyDescent="0.3">
      <c r="F2" s="422" t="s">
        <v>31</v>
      </c>
      <c r="G2" s="423"/>
      <c r="L2" s="128" t="s">
        <v>129</v>
      </c>
      <c r="M2" s="129" t="s">
        <v>99</v>
      </c>
      <c r="N2" s="130">
        <f>'Leg-Stds'!F16</f>
        <v>34.985189328336631</v>
      </c>
      <c r="R2" s="407"/>
      <c r="S2" s="408"/>
      <c r="T2" s="409"/>
    </row>
    <row r="3" spans="1:20" ht="30.75" hidden="1" thickBot="1" x14ac:dyDescent="0.3">
      <c r="F3" s="140" t="s">
        <v>75</v>
      </c>
      <c r="G3" s="136" t="s">
        <v>70</v>
      </c>
      <c r="L3" s="128"/>
      <c r="M3" s="129" t="s">
        <v>100</v>
      </c>
      <c r="N3" s="131"/>
      <c r="R3" s="410"/>
      <c r="S3" s="411"/>
      <c r="T3" s="412"/>
    </row>
    <row r="4" spans="1:20" ht="15.75" thickBot="1" x14ac:dyDescent="0.3">
      <c r="F4" s="137" t="s">
        <v>73</v>
      </c>
      <c r="G4" s="137" t="s">
        <v>71</v>
      </c>
      <c r="H4" s="413" t="s">
        <v>146</v>
      </c>
      <c r="I4" s="414"/>
      <c r="J4" s="414"/>
      <c r="K4" s="415"/>
      <c r="L4" s="400" t="s">
        <v>145</v>
      </c>
      <c r="M4" s="401"/>
      <c r="N4" s="401"/>
      <c r="O4" s="401"/>
      <c r="P4" s="401"/>
      <c r="Q4" s="402"/>
      <c r="R4" s="400" t="s">
        <v>147</v>
      </c>
      <c r="S4" s="401"/>
      <c r="T4" s="402"/>
    </row>
    <row r="5" spans="1:20" ht="42" customHeight="1" thickBot="1" x14ac:dyDescent="0.3">
      <c r="C5" s="420" t="s">
        <v>21</v>
      </c>
      <c r="D5" s="416" t="s">
        <v>77</v>
      </c>
      <c r="E5" s="418" t="s">
        <v>0</v>
      </c>
      <c r="F5" s="138" t="s">
        <v>74</v>
      </c>
      <c r="G5" s="138" t="s">
        <v>69</v>
      </c>
      <c r="H5" s="124" t="s">
        <v>78</v>
      </c>
      <c r="I5" s="122" t="s">
        <v>232</v>
      </c>
      <c r="J5" s="123" t="s">
        <v>83</v>
      </c>
      <c r="K5" s="145"/>
      <c r="L5" s="116" t="s">
        <v>138</v>
      </c>
      <c r="M5" s="117" t="s">
        <v>234</v>
      </c>
      <c r="N5" s="118" t="s">
        <v>140</v>
      </c>
      <c r="O5" s="116" t="s">
        <v>138</v>
      </c>
      <c r="P5" s="117" t="s">
        <v>139</v>
      </c>
      <c r="Q5" s="118" t="s">
        <v>140</v>
      </c>
      <c r="R5" s="397" t="s">
        <v>144</v>
      </c>
      <c r="S5" s="398"/>
      <c r="T5" s="399"/>
    </row>
    <row r="6" spans="1:20" ht="60.75" thickBot="1" x14ac:dyDescent="0.3">
      <c r="C6" s="421"/>
      <c r="D6" s="417"/>
      <c r="E6" s="419"/>
      <c r="F6" s="141" t="s">
        <v>76</v>
      </c>
      <c r="G6" s="139" t="s">
        <v>68</v>
      </c>
      <c r="H6" s="378" t="s">
        <v>79</v>
      </c>
      <c r="I6" s="379" t="s">
        <v>81</v>
      </c>
      <c r="J6" s="380" t="s">
        <v>84</v>
      </c>
      <c r="K6" s="381" t="s">
        <v>77</v>
      </c>
      <c r="L6" s="178" t="s">
        <v>114</v>
      </c>
      <c r="M6" s="179" t="s">
        <v>116</v>
      </c>
      <c r="N6" s="180" t="s">
        <v>118</v>
      </c>
      <c r="O6" s="119" t="s">
        <v>115</v>
      </c>
      <c r="P6" s="114" t="s">
        <v>117</v>
      </c>
      <c r="Q6" s="115" t="s">
        <v>119</v>
      </c>
      <c r="R6" s="142" t="s">
        <v>141</v>
      </c>
      <c r="S6" s="143" t="s">
        <v>233</v>
      </c>
      <c r="T6" s="144" t="s">
        <v>143</v>
      </c>
    </row>
    <row r="7" spans="1:20" x14ac:dyDescent="0.25">
      <c r="B7" s="403" t="s">
        <v>149</v>
      </c>
      <c r="C7" s="186" t="s">
        <v>27</v>
      </c>
      <c r="D7" s="171"/>
      <c r="E7" s="172" t="s">
        <v>3</v>
      </c>
      <c r="F7" s="169" t="s">
        <v>41</v>
      </c>
      <c r="G7" s="174">
        <v>16</v>
      </c>
      <c r="H7" s="164">
        <f>(28.49+28.39)/2</f>
        <v>28.439999999999998</v>
      </c>
      <c r="I7" s="165">
        <f>(30.36+30.6)/2</f>
        <v>30.48</v>
      </c>
      <c r="J7" s="166">
        <f>(30.47+30.86)/2</f>
        <v>30.664999999999999</v>
      </c>
      <c r="K7" s="176"/>
      <c r="L7" s="152">
        <f>(H7-34.985)/-3.324</f>
        <v>1.9690132370637792</v>
      </c>
      <c r="M7" s="177">
        <f>(I7-34.985)/-3.324</f>
        <v>1.3552948255114319</v>
      </c>
      <c r="N7" s="153">
        <f>(J7-34.985)/-3.324</f>
        <v>1.2996389891696751</v>
      </c>
      <c r="O7" s="177">
        <f t="shared" ref="O7:O15" si="0">10^L7</f>
        <v>93.113625557091794</v>
      </c>
      <c r="P7" s="152">
        <f>10^M7</f>
        <v>22.661822078531223</v>
      </c>
      <c r="Q7" s="153">
        <f t="shared" ref="Q7:Q15" si="1">10^N7</f>
        <v>19.936044260578786</v>
      </c>
      <c r="R7" s="157">
        <f>O7*150/300</f>
        <v>46.556812778545897</v>
      </c>
      <c r="S7" s="158">
        <f>P7*150/300</f>
        <v>11.330911039265612</v>
      </c>
      <c r="T7" s="159">
        <f t="shared" ref="T7:T13" si="2">Q7*150/300</f>
        <v>9.968022130289393</v>
      </c>
    </row>
    <row r="8" spans="1:20" x14ac:dyDescent="0.25">
      <c r="B8" s="403"/>
      <c r="C8" s="185" t="s">
        <v>28</v>
      </c>
      <c r="D8" s="4"/>
      <c r="E8" s="191" t="s">
        <v>162</v>
      </c>
      <c r="F8" s="170" t="s">
        <v>41</v>
      </c>
      <c r="G8" s="175">
        <v>8</v>
      </c>
      <c r="H8" s="167">
        <f>(26.5+26.8)/2</f>
        <v>26.65</v>
      </c>
      <c r="I8" s="40">
        <f>(28.74+28.58)/2</f>
        <v>28.659999999999997</v>
      </c>
      <c r="J8" s="30">
        <f>(29.16+29.04)/2</f>
        <v>29.1</v>
      </c>
      <c r="K8" s="149"/>
      <c r="L8" s="148">
        <f t="shared" ref="L8:L13" si="3">(H8-34.985)/-3.324</f>
        <v>2.5075210589651027</v>
      </c>
      <c r="M8" s="150">
        <f t="shared" ref="M8:M15" si="4">(I8-34.985)/-3.324</f>
        <v>1.9028279181708794</v>
      </c>
      <c r="N8" s="155">
        <f>(J8-34.985)/-3.324</f>
        <v>1.7704572803850778</v>
      </c>
      <c r="O8" s="150">
        <f t="shared" si="0"/>
        <v>321.75185465775502</v>
      </c>
      <c r="P8" s="148">
        <f t="shared" ref="P8:P15" si="5">10^M8</f>
        <v>79.951739701601753</v>
      </c>
      <c r="Q8" s="155">
        <f t="shared" si="1"/>
        <v>58.946399126481495</v>
      </c>
      <c r="R8" s="160">
        <f t="shared" ref="R8:R13" si="6">O8*150/300</f>
        <v>160.87592732887751</v>
      </c>
      <c r="S8" s="113">
        <f t="shared" ref="S8:S13" si="7">P8*150/300</f>
        <v>39.975869850800876</v>
      </c>
      <c r="T8" s="161">
        <f t="shared" si="2"/>
        <v>29.473199563240748</v>
      </c>
    </row>
    <row r="9" spans="1:20" x14ac:dyDescent="0.25">
      <c r="B9" s="403"/>
      <c r="C9" s="173" t="s">
        <v>7</v>
      </c>
      <c r="D9" s="5"/>
      <c r="E9" s="192"/>
      <c r="F9" s="170" t="s">
        <v>41</v>
      </c>
      <c r="G9" s="175" t="s">
        <v>72</v>
      </c>
      <c r="H9" s="167">
        <f>(28.94+29.1)/2</f>
        <v>29.020000000000003</v>
      </c>
      <c r="I9" s="40">
        <f>(30.08+29.98)/2</f>
        <v>30.03</v>
      </c>
      <c r="J9" s="134" t="s">
        <v>82</v>
      </c>
      <c r="K9" s="149"/>
      <c r="L9" s="148">
        <f t="shared" si="3"/>
        <v>1.7945246690734045</v>
      </c>
      <c r="M9" s="150">
        <f>(I9-34.985)/-3.324</f>
        <v>1.4906738868832727</v>
      </c>
      <c r="N9" s="372" t="e">
        <f>(J9-34.985)/-3.324</f>
        <v>#VALUE!</v>
      </c>
      <c r="O9" s="150">
        <f t="shared" si="0"/>
        <v>62.305253745334056</v>
      </c>
      <c r="P9" s="148">
        <f t="shared" si="5"/>
        <v>30.950943101794245</v>
      </c>
      <c r="Q9" s="156" t="e">
        <f t="shared" si="1"/>
        <v>#VALUE!</v>
      </c>
      <c r="R9" s="162">
        <f t="shared" si="6"/>
        <v>31.152626872667032</v>
      </c>
      <c r="S9" s="113">
        <f t="shared" si="7"/>
        <v>15.475471550897122</v>
      </c>
      <c r="T9" s="163" t="e">
        <f t="shared" si="2"/>
        <v>#VALUE!</v>
      </c>
    </row>
    <row r="10" spans="1:20" x14ac:dyDescent="0.25">
      <c r="B10" s="403"/>
      <c r="C10" s="173" t="s">
        <v>9</v>
      </c>
      <c r="D10" s="5"/>
      <c r="E10" s="192"/>
      <c r="F10" s="170" t="s">
        <v>41</v>
      </c>
      <c r="G10" s="175">
        <v>12</v>
      </c>
      <c r="H10" s="167">
        <v>24.96</v>
      </c>
      <c r="I10" s="40">
        <v>32.46</v>
      </c>
      <c r="J10" s="30">
        <v>36.520000000000003</v>
      </c>
      <c r="K10" s="149"/>
      <c r="L10" s="148">
        <f t="shared" si="3"/>
        <v>3.0159446450060168</v>
      </c>
      <c r="M10" s="150">
        <f>(I10-34.985)/-3.324</f>
        <v>0.75962695547533055</v>
      </c>
      <c r="N10" s="155">
        <f>(J10-34.985)/-3.324</f>
        <v>-0.46179302045728154</v>
      </c>
      <c r="O10" s="367">
        <f t="shared" si="0"/>
        <v>1037.3961813052347</v>
      </c>
      <c r="P10" s="368">
        <f t="shared" si="5"/>
        <v>5.7494586578362856</v>
      </c>
      <c r="Q10" s="369">
        <f t="shared" si="1"/>
        <v>0.34530826990715302</v>
      </c>
      <c r="R10" s="160">
        <f>O10*150/300</f>
        <v>518.69809065261734</v>
      </c>
      <c r="S10" s="58">
        <f t="shared" si="7"/>
        <v>2.8747293289181428</v>
      </c>
      <c r="T10" s="377">
        <f t="shared" si="2"/>
        <v>0.17265413495357651</v>
      </c>
    </row>
    <row r="11" spans="1:20" x14ac:dyDescent="0.25">
      <c r="B11" s="403"/>
      <c r="C11" s="173" t="s">
        <v>11</v>
      </c>
      <c r="D11" s="5"/>
      <c r="E11" s="192"/>
      <c r="F11" s="170" t="s">
        <v>45</v>
      </c>
      <c r="G11" s="175" t="s">
        <v>72</v>
      </c>
      <c r="H11" s="168" t="s">
        <v>82</v>
      </c>
      <c r="I11" s="133" t="s">
        <v>82</v>
      </c>
      <c r="J11" s="134" t="s">
        <v>82</v>
      </c>
      <c r="K11" s="149"/>
      <c r="L11" s="370" t="e">
        <f t="shared" si="3"/>
        <v>#VALUE!</v>
      </c>
      <c r="M11" s="371" t="e">
        <f>(I11-34.985)/-3.324</f>
        <v>#VALUE!</v>
      </c>
      <c r="N11" s="372" t="e">
        <f>(J11-34.985)/-3.324</f>
        <v>#VALUE!</v>
      </c>
      <c r="O11" s="371" t="e">
        <f t="shared" si="0"/>
        <v>#VALUE!</v>
      </c>
      <c r="P11" s="370" t="e">
        <f t="shared" si="5"/>
        <v>#VALUE!</v>
      </c>
      <c r="Q11" s="156" t="e">
        <f t="shared" si="1"/>
        <v>#VALUE!</v>
      </c>
      <c r="R11" s="135" t="e">
        <f t="shared" si="6"/>
        <v>#VALUE!</v>
      </c>
      <c r="S11" s="135" t="e">
        <f t="shared" si="7"/>
        <v>#VALUE!</v>
      </c>
      <c r="T11" s="163" t="e">
        <f t="shared" si="2"/>
        <v>#VALUE!</v>
      </c>
    </row>
    <row r="12" spans="1:20" x14ac:dyDescent="0.25">
      <c r="B12" s="403"/>
      <c r="C12" s="173" t="s">
        <v>29</v>
      </c>
      <c r="D12" s="5"/>
      <c r="E12" s="192"/>
      <c r="F12" s="170" t="s">
        <v>45</v>
      </c>
      <c r="G12" s="175" t="s">
        <v>72</v>
      </c>
      <c r="H12" s="167">
        <f>(38.44+35.52)/2</f>
        <v>36.980000000000004</v>
      </c>
      <c r="I12" s="133" t="s">
        <v>82</v>
      </c>
      <c r="J12" s="134" t="s">
        <v>82</v>
      </c>
      <c r="K12" s="149"/>
      <c r="L12" s="148">
        <f t="shared" si="3"/>
        <v>-0.60018050541516388</v>
      </c>
      <c r="M12" s="371" t="e">
        <f>(I12-34.985)/-3.324</f>
        <v>#VALUE!</v>
      </c>
      <c r="N12" s="372" t="e">
        <f>(J12-34.985)/-3.324</f>
        <v>#VALUE!</v>
      </c>
      <c r="O12" s="150">
        <f t="shared" si="0"/>
        <v>0.25108426353986396</v>
      </c>
      <c r="P12" s="370" t="e">
        <f t="shared" si="5"/>
        <v>#VALUE!</v>
      </c>
      <c r="Q12" s="372" t="e">
        <f t="shared" si="1"/>
        <v>#VALUE!</v>
      </c>
      <c r="R12" s="162">
        <f t="shared" si="6"/>
        <v>0.12554213176993198</v>
      </c>
      <c r="S12" s="375" t="e">
        <f t="shared" si="7"/>
        <v>#VALUE!</v>
      </c>
      <c r="T12" s="376" t="e">
        <f t="shared" si="2"/>
        <v>#VALUE!</v>
      </c>
    </row>
    <row r="13" spans="1:20" ht="15.75" thickBot="1" x14ac:dyDescent="0.3">
      <c r="B13" s="403"/>
      <c r="C13" s="352" t="s">
        <v>14</v>
      </c>
      <c r="D13" s="353"/>
      <c r="E13" s="354"/>
      <c r="F13" s="355" t="s">
        <v>45</v>
      </c>
      <c r="G13" s="356">
        <v>0.4</v>
      </c>
      <c r="H13" s="357">
        <f>(40.12+38.52)/2</f>
        <v>39.32</v>
      </c>
      <c r="I13" s="358" t="s">
        <v>82</v>
      </c>
      <c r="J13" s="359" t="s">
        <v>82</v>
      </c>
      <c r="K13" s="360"/>
      <c r="L13" s="211">
        <f t="shared" si="3"/>
        <v>-1.3041516245487368</v>
      </c>
      <c r="M13" s="373" t="e">
        <f>(I13-34.985)/-3.324</f>
        <v>#VALUE!</v>
      </c>
      <c r="N13" s="374" t="e">
        <f>(J13-34.985)/-3.324</f>
        <v>#VALUE!</v>
      </c>
      <c r="O13" s="361">
        <f t="shared" si="0"/>
        <v>4.9641897721641688E-2</v>
      </c>
      <c r="P13" s="362" t="e">
        <f t="shared" si="5"/>
        <v>#VALUE!</v>
      </c>
      <c r="Q13" s="363" t="e">
        <f t="shared" si="1"/>
        <v>#VALUE!</v>
      </c>
      <c r="R13" s="364">
        <f t="shared" si="6"/>
        <v>2.4820948860820844E-2</v>
      </c>
      <c r="S13" s="365" t="e">
        <f t="shared" si="7"/>
        <v>#VALUE!</v>
      </c>
      <c r="T13" s="366" t="e">
        <f t="shared" si="2"/>
        <v>#VALUE!</v>
      </c>
    </row>
    <row r="14" spans="1:20" x14ac:dyDescent="0.25">
      <c r="A14" s="194"/>
      <c r="B14" s="395"/>
      <c r="C14" s="347" t="s">
        <v>215</v>
      </c>
      <c r="D14" s="47"/>
      <c r="E14" s="192"/>
      <c r="F14" s="182"/>
      <c r="G14" s="181"/>
      <c r="H14" s="454">
        <v>33.04</v>
      </c>
      <c r="I14" s="455">
        <v>36.82</v>
      </c>
      <c r="J14" s="458" t="s">
        <v>82</v>
      </c>
      <c r="K14" s="147" t="s">
        <v>150</v>
      </c>
      <c r="L14" s="348">
        <f>(H14-34.985)/-3.324</f>
        <v>0.58513838748495794</v>
      </c>
      <c r="M14" s="349">
        <f>(I14-34.985)/-3.324</f>
        <v>-0.55204572803850815</v>
      </c>
      <c r="N14" s="460" t="e">
        <f t="shared" ref="N13:N14" si="8">(J14-34.985)/-3.324</f>
        <v>#VALUE!</v>
      </c>
      <c r="O14" s="350">
        <f t="shared" si="0"/>
        <v>3.8471435134394918</v>
      </c>
      <c r="P14" s="148">
        <f>10^M14</f>
        <v>0.28051382618206094</v>
      </c>
      <c r="Q14" s="460" t="e">
        <f t="shared" si="1"/>
        <v>#VALUE!</v>
      </c>
      <c r="R14" s="456">
        <f t="shared" ref="R14" si="9">O14*150/300</f>
        <v>1.9235717567197457</v>
      </c>
      <c r="S14" s="351">
        <f>P14*150/300</f>
        <v>0.14025691309103047</v>
      </c>
      <c r="T14" s="461" t="e">
        <f t="shared" ref="T14" si="10">Q14*150/300</f>
        <v>#VALUE!</v>
      </c>
    </row>
    <row r="15" spans="1:20" x14ac:dyDescent="0.25">
      <c r="B15" s="396"/>
      <c r="C15" s="342" t="s">
        <v>216</v>
      </c>
      <c r="D15" s="14"/>
      <c r="E15" s="192"/>
      <c r="F15" s="14"/>
      <c r="G15" s="14"/>
      <c r="H15" s="457">
        <v>27.594999999999999</v>
      </c>
      <c r="I15" s="75">
        <v>32.195</v>
      </c>
      <c r="J15" s="343">
        <v>32.924999999999997</v>
      </c>
      <c r="K15" s="147" t="s">
        <v>150</v>
      </c>
      <c r="L15" s="148">
        <f t="shared" ref="L14:L23" si="11">(H15-34.985)/-3.324</f>
        <v>2.2232250300842362</v>
      </c>
      <c r="M15" s="148">
        <f>(I15-34.985)/-3.324</f>
        <v>0.83935018050541499</v>
      </c>
      <c r="N15" s="148">
        <f>(J15-34.985)/-3.324</f>
        <v>0.61973525872442914</v>
      </c>
      <c r="O15" s="148">
        <f t="shared" si="0"/>
        <v>167.19567158119003</v>
      </c>
      <c r="P15" s="148">
        <f t="shared" si="5"/>
        <v>6.9079658272391837</v>
      </c>
      <c r="Q15" s="148">
        <f t="shared" si="1"/>
        <v>4.1661534178699027</v>
      </c>
      <c r="R15" s="189">
        <f t="shared" ref="R15" si="12">O15*150/300</f>
        <v>83.597835790595013</v>
      </c>
      <c r="S15" s="58">
        <f t="shared" ref="S15" si="13">P15*150/300</f>
        <v>3.4539829136195914</v>
      </c>
      <c r="T15" s="58">
        <f t="shared" ref="T15" si="14">Q15*150/300</f>
        <v>2.0830767089349513</v>
      </c>
    </row>
    <row r="16" spans="1:20" x14ac:dyDescent="0.25">
      <c r="B16" s="396"/>
      <c r="C16" s="342" t="s">
        <v>217</v>
      </c>
      <c r="D16" s="14"/>
      <c r="E16" s="192"/>
      <c r="F16" s="14"/>
      <c r="G16" s="14"/>
      <c r="H16" s="457">
        <v>29.29</v>
      </c>
      <c r="I16" s="75">
        <v>33.58</v>
      </c>
      <c r="J16" s="343">
        <v>35.53</v>
      </c>
      <c r="K16" s="147" t="s">
        <v>150</v>
      </c>
      <c r="L16" s="148">
        <f t="shared" si="11"/>
        <v>1.7132972322503011</v>
      </c>
      <c r="M16" s="148">
        <f t="shared" ref="M16:M17" si="15">(I16-34.985)/-3.324</f>
        <v>0.42268351383874886</v>
      </c>
      <c r="N16" s="148">
        <f>(J16-34.985)/-3.324</f>
        <v>-0.16395908543923035</v>
      </c>
      <c r="O16" s="148">
        <f t="shared" ref="O16:O17" si="16">10^L16</f>
        <v>51.676992692547039</v>
      </c>
      <c r="P16" s="148">
        <f t="shared" ref="P16" si="17">10^M16</f>
        <v>2.6465707834509922</v>
      </c>
      <c r="Q16" s="148">
        <f t="shared" ref="Q16:Q17" si="18">10^N16</f>
        <v>0.68555280883172898</v>
      </c>
      <c r="R16" s="189">
        <f t="shared" ref="R16:R18" si="19">O16*150/300</f>
        <v>25.838496346273519</v>
      </c>
      <c r="S16" s="58">
        <f t="shared" ref="S16:S18" si="20">P16*150/300</f>
        <v>1.3232853917254961</v>
      </c>
      <c r="T16" s="58">
        <f t="shared" ref="T16:T18" si="21">Q16*150/300</f>
        <v>0.34277640441586449</v>
      </c>
    </row>
    <row r="17" spans="1:20" x14ac:dyDescent="0.25">
      <c r="B17" s="396"/>
      <c r="C17" s="342" t="s">
        <v>218</v>
      </c>
      <c r="D17" s="14"/>
      <c r="E17" s="193"/>
      <c r="F17" s="14"/>
      <c r="G17" s="14"/>
      <c r="H17" s="457">
        <v>31.555</v>
      </c>
      <c r="I17" s="75">
        <v>37.229999999999997</v>
      </c>
      <c r="J17" s="344">
        <v>36.08</v>
      </c>
      <c r="K17" s="147" t="s">
        <v>150</v>
      </c>
      <c r="L17" s="148">
        <f t="shared" si="11"/>
        <v>1.0318892900120336</v>
      </c>
      <c r="M17" s="148">
        <f t="shared" si="15"/>
        <v>-0.67539109506618455</v>
      </c>
      <c r="N17" s="148">
        <f>(J17-34.985)/-3.324</f>
        <v>-0.32942238267147983</v>
      </c>
      <c r="O17" s="148">
        <f t="shared" si="16"/>
        <v>10.76190836986682</v>
      </c>
      <c r="P17" s="148">
        <f>10^M17</f>
        <v>0.21115866369641265</v>
      </c>
      <c r="Q17" s="148">
        <f t="shared" si="18"/>
        <v>0.46835764900903537</v>
      </c>
      <c r="R17" s="189">
        <f t="shared" si="19"/>
        <v>5.3809541849334099</v>
      </c>
      <c r="S17" s="58">
        <f t="shared" si="20"/>
        <v>0.10557933184820632</v>
      </c>
      <c r="T17" s="58">
        <f t="shared" si="21"/>
        <v>0.23417882450451771</v>
      </c>
    </row>
    <row r="18" spans="1:20" x14ac:dyDescent="0.25">
      <c r="B18" s="396"/>
      <c r="C18" s="342" t="s">
        <v>219</v>
      </c>
      <c r="D18" s="14"/>
      <c r="E18" s="391" t="s">
        <v>161</v>
      </c>
      <c r="F18" s="14"/>
      <c r="G18" s="14"/>
      <c r="H18" s="457">
        <v>28.93</v>
      </c>
      <c r="I18" s="75">
        <v>34.384999999999998</v>
      </c>
      <c r="J18" s="344">
        <v>36.380000000000003</v>
      </c>
      <c r="K18" s="147" t="s">
        <v>150</v>
      </c>
      <c r="L18" s="148">
        <f t="shared" si="11"/>
        <v>1.8216004813477737</v>
      </c>
      <c r="M18" s="148">
        <f>(I18-34.985)/-3.324</f>
        <v>0.1805054151624553</v>
      </c>
      <c r="N18" s="148">
        <f>(J18-34.985)/-3.324</f>
        <v>-0.41967509025270855</v>
      </c>
      <c r="O18" s="148">
        <f>10^L18</f>
        <v>66.313275686249625</v>
      </c>
      <c r="P18" s="148">
        <f>10^M18</f>
        <v>1.5153236979586591</v>
      </c>
      <c r="Q18" s="148">
        <f>10^N18</f>
        <v>0.38047393472645324</v>
      </c>
      <c r="R18" s="189">
        <f t="shared" si="19"/>
        <v>33.156637843124813</v>
      </c>
      <c r="S18" s="58">
        <f t="shared" si="20"/>
        <v>0.75766184897932953</v>
      </c>
      <c r="T18" s="58">
        <f t="shared" si="21"/>
        <v>0.19023696736322662</v>
      </c>
    </row>
    <row r="19" spans="1:20" x14ac:dyDescent="0.25">
      <c r="B19" s="396"/>
      <c r="C19" s="342" t="s">
        <v>220</v>
      </c>
      <c r="D19" s="14"/>
      <c r="E19" s="392"/>
      <c r="F19" s="14"/>
      <c r="G19" s="14"/>
      <c r="H19" s="457">
        <v>29.405000000000001</v>
      </c>
      <c r="I19" s="75">
        <v>33.364999999999995</v>
      </c>
      <c r="J19" s="344">
        <v>34.03</v>
      </c>
      <c r="K19" s="147" t="s">
        <v>150</v>
      </c>
      <c r="L19" s="148">
        <f t="shared" si="11"/>
        <v>1.67870036101083</v>
      </c>
      <c r="M19" s="148">
        <f t="shared" ref="M19:M20" si="22">(I19-34.985)/-3.324</f>
        <v>0.48736462093862953</v>
      </c>
      <c r="N19" s="148">
        <f t="shared" ref="N19:N21" si="23">(J19-34.985)/-3.324</f>
        <v>0.28730445246690683</v>
      </c>
      <c r="O19" s="148">
        <f t="shared" ref="O19:O20" si="24">10^L19</f>
        <v>47.719991870304348</v>
      </c>
      <c r="P19" s="148">
        <f t="shared" ref="P19:P20" si="25">10^M19</f>
        <v>3.0715997313939081</v>
      </c>
      <c r="Q19" s="148">
        <f t="shared" ref="Q19:Q20" si="26">10^N19</f>
        <v>1.9377799253337893</v>
      </c>
      <c r="R19" s="189">
        <f t="shared" ref="R19:R21" si="27">O19*150/300</f>
        <v>23.859995935152174</v>
      </c>
      <c r="S19" s="58">
        <f t="shared" ref="S19:S21" si="28">P19*150/300</f>
        <v>1.535799865696954</v>
      </c>
      <c r="T19" s="58">
        <f t="shared" ref="T19:T21" si="29">Q19*150/300</f>
        <v>0.96888996266689464</v>
      </c>
    </row>
    <row r="20" spans="1:20" x14ac:dyDescent="0.25">
      <c r="B20" s="396"/>
      <c r="C20" s="342" t="s">
        <v>221</v>
      </c>
      <c r="D20" s="14"/>
      <c r="E20" s="392"/>
      <c r="F20" s="14"/>
      <c r="G20" s="14"/>
      <c r="H20" s="457">
        <v>33.730000000000004</v>
      </c>
      <c r="I20" s="75">
        <v>35.6</v>
      </c>
      <c r="J20" s="459" t="s">
        <v>82</v>
      </c>
      <c r="K20" s="147" t="s">
        <v>150</v>
      </c>
      <c r="L20" s="148">
        <f t="shared" si="11"/>
        <v>0.37755716004813344</v>
      </c>
      <c r="M20" s="148">
        <f t="shared" si="22"/>
        <v>-0.18501805054151685</v>
      </c>
      <c r="N20" s="370" t="e">
        <f t="shared" si="23"/>
        <v>#VALUE!</v>
      </c>
      <c r="O20" s="148">
        <f t="shared" si="24"/>
        <v>2.3853777283816977</v>
      </c>
      <c r="P20" s="148">
        <f t="shared" si="25"/>
        <v>0.65310340720664573</v>
      </c>
      <c r="Q20" s="460" t="e">
        <f t="shared" si="26"/>
        <v>#VALUE!</v>
      </c>
      <c r="R20" s="189">
        <f t="shared" si="27"/>
        <v>1.1926888641908489</v>
      </c>
      <c r="S20" s="58">
        <f t="shared" si="28"/>
        <v>0.32655170360332286</v>
      </c>
      <c r="T20" s="375" t="e">
        <f t="shared" si="29"/>
        <v>#VALUE!</v>
      </c>
    </row>
    <row r="21" spans="1:20" x14ac:dyDescent="0.25">
      <c r="B21" s="396"/>
      <c r="C21" s="342" t="s">
        <v>222</v>
      </c>
      <c r="D21" s="14"/>
      <c r="E21" s="392"/>
      <c r="F21" s="14"/>
      <c r="G21" s="14"/>
      <c r="H21" s="457">
        <v>30.465000000000003</v>
      </c>
      <c r="I21" s="75">
        <v>34.625</v>
      </c>
      <c r="J21" s="453">
        <v>36.125</v>
      </c>
      <c r="K21" s="147" t="s">
        <v>150</v>
      </c>
      <c r="L21" s="148">
        <f t="shared" si="11"/>
        <v>1.3598074608904922</v>
      </c>
      <c r="M21" s="148">
        <f>(I21-34.985)/-3.324</f>
        <v>0.10830324909747276</v>
      </c>
      <c r="N21" s="148">
        <f t="shared" si="23"/>
        <v>-0.34296028880866447</v>
      </c>
      <c r="O21" s="148">
        <f>10^L21</f>
        <v>22.898522499094923</v>
      </c>
      <c r="P21" s="148">
        <f>10^M21</f>
        <v>1.2832262914520076</v>
      </c>
      <c r="Q21" s="148">
        <f>10^N21</f>
        <v>0.45398312624180576</v>
      </c>
      <c r="R21" s="189">
        <f t="shared" si="27"/>
        <v>11.449261249547462</v>
      </c>
      <c r="S21" s="58">
        <f t="shared" si="28"/>
        <v>0.64161314572600381</v>
      </c>
      <c r="T21" s="58">
        <f t="shared" si="29"/>
        <v>0.22699156312090285</v>
      </c>
    </row>
    <row r="22" spans="1:20" x14ac:dyDescent="0.25">
      <c r="B22" s="396"/>
      <c r="C22" s="342" t="s">
        <v>223</v>
      </c>
      <c r="D22" s="14"/>
      <c r="E22" s="392"/>
      <c r="F22" s="14"/>
      <c r="G22" s="14"/>
      <c r="H22" s="457">
        <v>30.934999999999999</v>
      </c>
      <c r="I22" s="75">
        <v>33.409999999999997</v>
      </c>
      <c r="J22" s="344">
        <v>35.625</v>
      </c>
      <c r="K22" s="147" t="s">
        <v>150</v>
      </c>
      <c r="L22" s="148">
        <f t="shared" si="11"/>
        <v>1.2184115523465706</v>
      </c>
      <c r="M22" s="148">
        <f t="shared" ref="M22:M24" si="30">(I22-34.985)/-3.324</f>
        <v>0.47382671480144495</v>
      </c>
      <c r="N22" s="148">
        <f t="shared" ref="N22:N25" si="31">(J22-34.985)/-3.324</f>
        <v>-0.19253910950661871</v>
      </c>
      <c r="O22" s="148">
        <f t="shared" ref="O22:O24" si="32">10^L22</f>
        <v>16.535279958624262</v>
      </c>
      <c r="P22" s="148">
        <f t="shared" ref="P22:P24" si="33">10^M22</f>
        <v>2.9773282267773871</v>
      </c>
      <c r="Q22" s="148">
        <f t="shared" ref="Q22:Q24" si="34">10^N22</f>
        <v>0.64189041476894393</v>
      </c>
      <c r="R22" s="189">
        <f t="shared" ref="R22:R25" si="35">O22*150/300</f>
        <v>8.2676399793121309</v>
      </c>
      <c r="S22" s="58">
        <f t="shared" ref="S22:S25" si="36">P22*150/300</f>
        <v>1.4886641133886935</v>
      </c>
      <c r="T22" s="58">
        <f t="shared" ref="T22:T25" si="37">Q22*150/300</f>
        <v>0.32094520738447196</v>
      </c>
    </row>
    <row r="23" spans="1:20" x14ac:dyDescent="0.25">
      <c r="B23" s="396"/>
      <c r="C23" s="342" t="s">
        <v>224</v>
      </c>
      <c r="D23" s="14"/>
      <c r="E23" s="393"/>
      <c r="F23" s="14"/>
      <c r="G23" s="14"/>
      <c r="H23" s="457">
        <v>30.175000000000001</v>
      </c>
      <c r="I23" s="75">
        <v>33.299999999999997</v>
      </c>
      <c r="J23" s="345">
        <v>34.700000000000003</v>
      </c>
      <c r="K23" s="147" t="s">
        <v>150</v>
      </c>
      <c r="L23" s="148">
        <f t="shared" si="11"/>
        <v>1.4470517448856797</v>
      </c>
      <c r="M23" s="148">
        <f t="shared" si="30"/>
        <v>0.50691937424789479</v>
      </c>
      <c r="N23" s="148">
        <f t="shared" si="31"/>
        <v>8.5740072202165049E-2</v>
      </c>
      <c r="O23" s="148">
        <f t="shared" si="32"/>
        <v>27.99314829736355</v>
      </c>
      <c r="P23" s="148">
        <f t="shared" si="33"/>
        <v>3.2130639854737075</v>
      </c>
      <c r="Q23" s="148">
        <f t="shared" si="34"/>
        <v>1.2182602447744761</v>
      </c>
      <c r="R23" s="189">
        <f>O23*150/300</f>
        <v>13.996574148681775</v>
      </c>
      <c r="S23" s="58">
        <f t="shared" si="36"/>
        <v>1.6065319927368538</v>
      </c>
      <c r="T23" s="58">
        <f t="shared" si="37"/>
        <v>0.60913012238723807</v>
      </c>
    </row>
    <row r="24" spans="1:20" x14ac:dyDescent="0.25">
      <c r="A24" s="394"/>
      <c r="B24" s="390"/>
      <c r="C24" s="342" t="s">
        <v>225</v>
      </c>
      <c r="D24" s="37"/>
      <c r="E24" s="391" t="s">
        <v>160</v>
      </c>
      <c r="F24" s="37"/>
      <c r="G24" s="37"/>
      <c r="H24" s="457">
        <v>29.184999999999999</v>
      </c>
      <c r="I24" s="75">
        <v>33.42</v>
      </c>
      <c r="J24" s="346">
        <v>34.35</v>
      </c>
      <c r="K24" s="147" t="s">
        <v>150</v>
      </c>
      <c r="L24" s="148">
        <f t="shared" ref="L24:L27" si="38">(H24-34.985)/-3.324</f>
        <v>1.7448856799037307</v>
      </c>
      <c r="M24" s="148">
        <f t="shared" si="30"/>
        <v>0.47081829121540247</v>
      </c>
      <c r="N24" s="148">
        <f t="shared" si="31"/>
        <v>0.1910348977135975</v>
      </c>
      <c r="O24" s="148">
        <f t="shared" si="32"/>
        <v>55.575794487808679</v>
      </c>
      <c r="P24" s="148">
        <f t="shared" si="33"/>
        <v>2.9567750931934449</v>
      </c>
      <c r="Q24" s="148">
        <f t="shared" si="34"/>
        <v>1.5525117569585323</v>
      </c>
      <c r="R24" s="189">
        <f t="shared" si="35"/>
        <v>27.787897243904343</v>
      </c>
      <c r="S24" s="58">
        <f t="shared" si="36"/>
        <v>1.4783875465967224</v>
      </c>
      <c r="T24" s="58">
        <f t="shared" si="37"/>
        <v>0.77625587847926614</v>
      </c>
    </row>
    <row r="25" spans="1:20" s="276" customFormat="1" x14ac:dyDescent="0.25">
      <c r="A25" s="394"/>
      <c r="B25" s="390"/>
      <c r="C25" s="342" t="s">
        <v>226</v>
      </c>
      <c r="D25" s="268"/>
      <c r="E25" s="392"/>
      <c r="F25" s="268"/>
      <c r="G25" s="268"/>
      <c r="H25" s="457">
        <v>30.954999999999998</v>
      </c>
      <c r="I25" s="75">
        <v>33.895000000000003</v>
      </c>
      <c r="J25" s="346">
        <v>34.32</v>
      </c>
      <c r="K25" s="147" t="s">
        <v>150</v>
      </c>
      <c r="L25" s="148">
        <f t="shared" si="38"/>
        <v>1.212394705174489</v>
      </c>
      <c r="M25" s="148">
        <f>(I25-34.985)/-3.324</f>
        <v>0.32791817087845859</v>
      </c>
      <c r="N25" s="148">
        <f t="shared" si="31"/>
        <v>0.20006016847172056</v>
      </c>
      <c r="O25" s="148">
        <f>10^L25</f>
        <v>16.307774788118842</v>
      </c>
      <c r="P25" s="148">
        <f>10^M25</f>
        <v>2.1277381029567621</v>
      </c>
      <c r="Q25" s="148">
        <f>10^N25</f>
        <v>1.5851127835710235</v>
      </c>
      <c r="R25" s="189">
        <f t="shared" si="35"/>
        <v>8.1538873940594208</v>
      </c>
      <c r="S25" s="58">
        <f t="shared" si="36"/>
        <v>1.0638690514783811</v>
      </c>
      <c r="T25" s="58">
        <f t="shared" si="37"/>
        <v>0.79255639178551174</v>
      </c>
    </row>
    <row r="26" spans="1:20" x14ac:dyDescent="0.25">
      <c r="A26" s="394"/>
      <c r="B26" s="390"/>
      <c r="C26" s="342" t="s">
        <v>227</v>
      </c>
      <c r="D26" s="37"/>
      <c r="E26" s="392"/>
      <c r="F26" s="37"/>
      <c r="G26" s="37"/>
      <c r="H26" s="457">
        <v>28.98</v>
      </c>
      <c r="I26" s="75">
        <v>33.974999999999994</v>
      </c>
      <c r="J26" s="346">
        <v>34.400000000000006</v>
      </c>
      <c r="K26" s="147" t="s">
        <v>150</v>
      </c>
      <c r="L26" s="148">
        <f t="shared" si="38"/>
        <v>1.806558363417569</v>
      </c>
      <c r="M26" s="148">
        <f t="shared" ref="M26:M27" si="39">(I26-34.985)/-3.324</f>
        <v>0.30385078219013395</v>
      </c>
      <c r="N26" s="148">
        <f t="shared" ref="N26:N27" si="40">(J26-34.985)/-3.324</f>
        <v>0.17599277978339162</v>
      </c>
      <c r="O26" s="148">
        <f t="shared" ref="O26:O27" si="41">10^L26</f>
        <v>64.055785826475386</v>
      </c>
      <c r="P26" s="148">
        <f t="shared" ref="P26:P27" si="42">10^M26</f>
        <v>2.0130324798316894</v>
      </c>
      <c r="Q26" s="148">
        <f t="shared" ref="Q26:Q27" si="43">10^N26</f>
        <v>1.4996599032045912</v>
      </c>
      <c r="R26" s="189">
        <f t="shared" ref="R26:R27" si="44">O26*150/300</f>
        <v>32.027892913237693</v>
      </c>
      <c r="S26" s="58">
        <f t="shared" ref="S26:S27" si="45">P26*150/300</f>
        <v>1.0065162399158447</v>
      </c>
      <c r="T26" s="58">
        <f t="shared" ref="T26:T27" si="46">Q26*150/300</f>
        <v>0.7498299516022956</v>
      </c>
    </row>
    <row r="27" spans="1:20" s="276" customFormat="1" x14ac:dyDescent="0.25">
      <c r="A27" s="394"/>
      <c r="B27" s="390"/>
      <c r="C27" s="342" t="s">
        <v>228</v>
      </c>
      <c r="D27" s="268"/>
      <c r="E27" s="393"/>
      <c r="F27" s="268"/>
      <c r="G27" s="268"/>
      <c r="H27" s="457">
        <v>29.200000000000003</v>
      </c>
      <c r="I27" s="75">
        <v>31.15</v>
      </c>
      <c r="J27" s="346">
        <v>31.740000000000002</v>
      </c>
      <c r="K27" s="147" t="s">
        <v>150</v>
      </c>
      <c r="L27" s="148">
        <f t="shared" si="38"/>
        <v>1.7403730445246681</v>
      </c>
      <c r="M27" s="148">
        <f t="shared" si="39"/>
        <v>1.153730445246691</v>
      </c>
      <c r="N27" s="148">
        <f t="shared" si="40"/>
        <v>0.97623345367027603</v>
      </c>
      <c r="O27" s="148">
        <f t="shared" si="41"/>
        <v>55.001311399262121</v>
      </c>
      <c r="P27" s="148">
        <f t="shared" si="42"/>
        <v>14.247230323470072</v>
      </c>
      <c r="Q27" s="148">
        <f t="shared" si="43"/>
        <v>9.4674594499271354</v>
      </c>
      <c r="R27" s="189">
        <f t="shared" si="44"/>
        <v>27.500655699631061</v>
      </c>
      <c r="S27" s="58">
        <f t="shared" si="45"/>
        <v>7.1236151617350361</v>
      </c>
      <c r="T27" s="58">
        <f t="shared" si="46"/>
        <v>4.7337297249635677</v>
      </c>
    </row>
    <row r="28" spans="1:20" x14ac:dyDescent="0.25">
      <c r="A28" s="282"/>
      <c r="C28" s="342" t="s">
        <v>229</v>
      </c>
      <c r="D28" s="196"/>
      <c r="F28" s="196"/>
      <c r="G28" s="266"/>
      <c r="H28" s="457">
        <v>28.38</v>
      </c>
      <c r="I28" s="75">
        <v>30.15</v>
      </c>
      <c r="J28" s="346">
        <v>30.605</v>
      </c>
      <c r="K28" s="147" t="s">
        <v>150</v>
      </c>
      <c r="L28" s="148">
        <f t="shared" ref="L28:L39" si="47">(H28-34.985)/-3.324</f>
        <v>1.9870637785800243</v>
      </c>
      <c r="M28" s="148">
        <f t="shared" ref="M28:M38" si="48">(I28-34.985)/-3.324</f>
        <v>1.4545728038507826</v>
      </c>
      <c r="N28" s="148">
        <f t="shared" ref="N28:N39" si="49">(J28-34.985)/-3.324</f>
        <v>1.3176895306859204</v>
      </c>
      <c r="O28" s="148">
        <f t="shared" ref="O28:O39" si="50">10^L28</f>
        <v>97.065250254222548</v>
      </c>
      <c r="P28" s="148">
        <f t="shared" ref="P28:P39" si="51">10^M28</f>
        <v>28.482152265866226</v>
      </c>
      <c r="Q28" s="148">
        <f t="shared" ref="Q28:Q39" si="52">10^N28</f>
        <v>20.782104806410423</v>
      </c>
      <c r="R28" s="189">
        <f t="shared" ref="R28:R39" si="53">O28*150/300</f>
        <v>48.532625127111274</v>
      </c>
      <c r="S28" s="58">
        <f t="shared" ref="S28:S39" si="54">P28*150/300</f>
        <v>14.241076132933113</v>
      </c>
      <c r="T28" s="58">
        <f t="shared" ref="T28:T39" si="55">Q28*150/300</f>
        <v>10.391052403205212</v>
      </c>
    </row>
    <row r="29" spans="1:20" s="276" customFormat="1" x14ac:dyDescent="0.25">
      <c r="A29" s="282"/>
      <c r="C29" s="342" t="s">
        <v>230</v>
      </c>
      <c r="D29" s="268"/>
      <c r="F29" s="268"/>
      <c r="G29" s="268"/>
      <c r="H29" s="457">
        <v>26.369999999999997</v>
      </c>
      <c r="I29" s="75">
        <v>30.545000000000002</v>
      </c>
      <c r="J29" s="346">
        <v>31.574999999999999</v>
      </c>
      <c r="K29" s="147" t="s">
        <v>150</v>
      </c>
      <c r="L29" s="148">
        <f t="shared" si="47"/>
        <v>2.5917569193742485</v>
      </c>
      <c r="M29" s="148">
        <f t="shared" si="48"/>
        <v>1.3357400722021655</v>
      </c>
      <c r="N29" s="148">
        <f t="shared" si="49"/>
        <v>1.0258724428399519</v>
      </c>
      <c r="O29" s="148">
        <f t="shared" si="50"/>
        <v>390.6221979493663</v>
      </c>
      <c r="P29" s="148">
        <f t="shared" si="51"/>
        <v>21.664071093514323</v>
      </c>
      <c r="Q29" s="148">
        <f t="shared" si="52"/>
        <v>10.613837710961933</v>
      </c>
      <c r="R29" s="189">
        <f t="shared" si="53"/>
        <v>195.31109897468315</v>
      </c>
      <c r="S29" s="58">
        <f t="shared" si="54"/>
        <v>10.832035546757162</v>
      </c>
      <c r="T29" s="58">
        <f t="shared" si="55"/>
        <v>5.3069188554809665</v>
      </c>
    </row>
    <row r="30" spans="1:20" x14ac:dyDescent="0.25">
      <c r="A30" s="282"/>
      <c r="C30" s="342" t="s">
        <v>231</v>
      </c>
      <c r="D30" s="196"/>
      <c r="F30" s="196"/>
      <c r="G30" s="196"/>
      <c r="H30" s="457">
        <v>30.23</v>
      </c>
      <c r="I30" s="75">
        <v>34.409999999999997</v>
      </c>
      <c r="J30" s="346">
        <v>38.17</v>
      </c>
      <c r="K30" s="147" t="s">
        <v>150</v>
      </c>
      <c r="L30" s="148">
        <f t="shared" si="47"/>
        <v>1.4305054151624546</v>
      </c>
      <c r="M30" s="148">
        <f t="shared" si="48"/>
        <v>0.17298435619735344</v>
      </c>
      <c r="N30" s="148">
        <f t="shared" si="49"/>
        <v>-0.95818291215403206</v>
      </c>
      <c r="O30" s="148">
        <f t="shared" si="50"/>
        <v>26.946689316239194</v>
      </c>
      <c r="P30" s="148">
        <f t="shared" si="51"/>
        <v>1.4893074301235953</v>
      </c>
      <c r="Q30" s="148">
        <f t="shared" si="52"/>
        <v>0.1101075471034537</v>
      </c>
      <c r="R30" s="189">
        <f t="shared" si="53"/>
        <v>13.473344658119597</v>
      </c>
      <c r="S30" s="58">
        <f t="shared" si="54"/>
        <v>0.74465371506179767</v>
      </c>
      <c r="T30" s="58">
        <f t="shared" si="55"/>
        <v>5.5053773551726845E-2</v>
      </c>
    </row>
    <row r="31" spans="1:20" s="276" customFormat="1" x14ac:dyDescent="0.25">
      <c r="A31" s="282"/>
      <c r="C31" s="267"/>
      <c r="D31" s="268"/>
      <c r="F31" s="268"/>
      <c r="G31" s="268"/>
      <c r="H31" s="269"/>
      <c r="I31" s="270"/>
      <c r="J31" s="271"/>
      <c r="K31" s="272" t="s">
        <v>150</v>
      </c>
      <c r="L31" s="273">
        <f t="shared" si="47"/>
        <v>10.524969915764141</v>
      </c>
      <c r="M31" s="273">
        <f t="shared" si="48"/>
        <v>10.524969915764141</v>
      </c>
      <c r="N31" s="273">
        <f t="shared" si="49"/>
        <v>10.524969915764141</v>
      </c>
      <c r="O31" s="273">
        <f t="shared" si="50"/>
        <v>33494223639.870186</v>
      </c>
      <c r="P31" s="273">
        <f t="shared" si="51"/>
        <v>33494223639.870186</v>
      </c>
      <c r="Q31" s="273">
        <f t="shared" si="52"/>
        <v>33494223639.870186</v>
      </c>
      <c r="R31" s="274">
        <f t="shared" si="53"/>
        <v>16747111819.935095</v>
      </c>
      <c r="S31" s="275">
        <f t="shared" si="54"/>
        <v>16747111819.935095</v>
      </c>
      <c r="T31" s="275">
        <f t="shared" si="55"/>
        <v>16747111819.935095</v>
      </c>
    </row>
    <row r="32" spans="1:20" x14ac:dyDescent="0.25">
      <c r="A32" s="282"/>
      <c r="C32" s="188"/>
      <c r="D32" s="196"/>
      <c r="F32" s="196"/>
      <c r="G32" s="196"/>
      <c r="H32" s="39"/>
      <c r="I32" s="40"/>
      <c r="J32" s="30"/>
      <c r="K32" s="147" t="s">
        <v>177</v>
      </c>
      <c r="L32" s="148">
        <f t="shared" si="47"/>
        <v>10.524969915764141</v>
      </c>
      <c r="M32" s="183">
        <f t="shared" si="48"/>
        <v>10.524969915764141</v>
      </c>
      <c r="N32" s="183">
        <f t="shared" si="49"/>
        <v>10.524969915764141</v>
      </c>
      <c r="O32" s="148">
        <f t="shared" si="50"/>
        <v>33494223639.870186</v>
      </c>
      <c r="P32" s="183">
        <f t="shared" si="51"/>
        <v>33494223639.870186</v>
      </c>
      <c r="Q32" s="132">
        <f t="shared" si="52"/>
        <v>33494223639.870186</v>
      </c>
      <c r="R32" s="190">
        <f t="shared" si="53"/>
        <v>16747111819.935095</v>
      </c>
      <c r="S32" s="184">
        <f t="shared" si="54"/>
        <v>16747111819.935095</v>
      </c>
      <c r="T32" s="135">
        <f t="shared" si="55"/>
        <v>16747111819.935095</v>
      </c>
    </row>
    <row r="33" spans="1:20" s="276" customFormat="1" x14ac:dyDescent="0.25">
      <c r="A33" s="282"/>
      <c r="C33" s="267"/>
      <c r="D33" s="268"/>
      <c r="F33" s="268"/>
      <c r="G33" s="268"/>
      <c r="H33" s="269"/>
      <c r="I33" s="270"/>
      <c r="J33" s="271"/>
      <c r="K33" s="272" t="s">
        <v>178</v>
      </c>
      <c r="L33" s="273">
        <f t="shared" si="47"/>
        <v>10.524969915764141</v>
      </c>
      <c r="M33" s="273">
        <f t="shared" si="48"/>
        <v>10.524969915764141</v>
      </c>
      <c r="N33" s="273">
        <f t="shared" si="49"/>
        <v>10.524969915764141</v>
      </c>
      <c r="O33" s="273">
        <f t="shared" si="50"/>
        <v>33494223639.870186</v>
      </c>
      <c r="P33" s="273">
        <f t="shared" si="51"/>
        <v>33494223639.870186</v>
      </c>
      <c r="Q33" s="273">
        <f t="shared" si="52"/>
        <v>33494223639.870186</v>
      </c>
      <c r="R33" s="274">
        <f t="shared" si="53"/>
        <v>16747111819.935095</v>
      </c>
      <c r="S33" s="275">
        <f t="shared" si="54"/>
        <v>16747111819.935095</v>
      </c>
      <c r="T33" s="275">
        <f t="shared" si="55"/>
        <v>16747111819.935095</v>
      </c>
    </row>
    <row r="34" spans="1:20" x14ac:dyDescent="0.25">
      <c r="A34" s="282"/>
      <c r="C34" s="188"/>
      <c r="D34" s="196"/>
      <c r="F34" s="196"/>
      <c r="G34" s="196"/>
      <c r="H34" s="39"/>
      <c r="I34" s="40"/>
      <c r="J34" s="30"/>
      <c r="K34" s="147" t="s">
        <v>150</v>
      </c>
      <c r="L34" s="148">
        <f t="shared" si="47"/>
        <v>10.524969915764141</v>
      </c>
      <c r="M34" s="183">
        <f t="shared" si="48"/>
        <v>10.524969915764141</v>
      </c>
      <c r="N34" s="183">
        <f t="shared" si="49"/>
        <v>10.524969915764141</v>
      </c>
      <c r="O34" s="148">
        <f t="shared" si="50"/>
        <v>33494223639.870186</v>
      </c>
      <c r="P34" s="183">
        <f t="shared" si="51"/>
        <v>33494223639.870186</v>
      </c>
      <c r="Q34" s="132">
        <f t="shared" si="52"/>
        <v>33494223639.870186</v>
      </c>
      <c r="R34" s="190">
        <f t="shared" si="53"/>
        <v>16747111819.935095</v>
      </c>
      <c r="S34" s="184">
        <f t="shared" si="54"/>
        <v>16747111819.935095</v>
      </c>
      <c r="T34" s="135">
        <f t="shared" si="55"/>
        <v>16747111819.935095</v>
      </c>
    </row>
    <row r="35" spans="1:20" s="276" customFormat="1" x14ac:dyDescent="0.25">
      <c r="A35" s="282"/>
      <c r="C35" s="267"/>
      <c r="D35" s="268"/>
      <c r="F35" s="268"/>
      <c r="G35" s="268"/>
      <c r="H35" s="269"/>
      <c r="I35" s="270"/>
      <c r="J35" s="271"/>
      <c r="K35" s="272" t="s">
        <v>150</v>
      </c>
      <c r="L35" s="273">
        <f t="shared" si="47"/>
        <v>10.524969915764141</v>
      </c>
      <c r="M35" s="273">
        <f>(I35-34.985)/-3.324</f>
        <v>10.524969915764141</v>
      </c>
      <c r="N35" s="273">
        <f t="shared" si="49"/>
        <v>10.524969915764141</v>
      </c>
      <c r="O35" s="273">
        <f t="shared" si="50"/>
        <v>33494223639.870186</v>
      </c>
      <c r="P35" s="273">
        <f t="shared" si="51"/>
        <v>33494223639.870186</v>
      </c>
      <c r="Q35" s="273">
        <f t="shared" si="52"/>
        <v>33494223639.870186</v>
      </c>
      <c r="R35" s="274">
        <f t="shared" si="53"/>
        <v>16747111819.935095</v>
      </c>
      <c r="S35" s="275">
        <f t="shared" si="54"/>
        <v>16747111819.935095</v>
      </c>
      <c r="T35" s="275">
        <f t="shared" si="55"/>
        <v>16747111819.935095</v>
      </c>
    </row>
    <row r="36" spans="1:20" x14ac:dyDescent="0.25">
      <c r="A36" s="282"/>
      <c r="C36" s="188"/>
      <c r="D36" s="196"/>
      <c r="F36" s="196"/>
      <c r="G36" s="196"/>
      <c r="H36" s="39"/>
      <c r="I36" s="40"/>
      <c r="J36" s="30"/>
      <c r="K36" s="147" t="s">
        <v>150</v>
      </c>
      <c r="L36" s="148">
        <f t="shared" si="47"/>
        <v>10.524969915764141</v>
      </c>
      <c r="M36" s="183">
        <f t="shared" si="48"/>
        <v>10.524969915764141</v>
      </c>
      <c r="N36" s="183">
        <f t="shared" si="49"/>
        <v>10.524969915764141</v>
      </c>
      <c r="O36" s="148">
        <f t="shared" si="50"/>
        <v>33494223639.870186</v>
      </c>
      <c r="P36" s="183">
        <f t="shared" si="51"/>
        <v>33494223639.870186</v>
      </c>
      <c r="Q36" s="132">
        <f t="shared" si="52"/>
        <v>33494223639.870186</v>
      </c>
      <c r="R36" s="190">
        <f t="shared" si="53"/>
        <v>16747111819.935095</v>
      </c>
      <c r="S36" s="184">
        <f t="shared" si="54"/>
        <v>16747111819.935095</v>
      </c>
      <c r="T36" s="135">
        <f t="shared" si="55"/>
        <v>16747111819.935095</v>
      </c>
    </row>
    <row r="37" spans="1:20" s="276" customFormat="1" x14ac:dyDescent="0.25">
      <c r="A37" s="282"/>
      <c r="C37" s="267"/>
      <c r="D37" s="268"/>
      <c r="F37" s="268"/>
      <c r="G37" s="268"/>
      <c r="H37" s="269"/>
      <c r="I37" s="270"/>
      <c r="J37" s="271"/>
      <c r="K37" s="277" t="s">
        <v>179</v>
      </c>
      <c r="L37" s="273">
        <f t="shared" si="47"/>
        <v>10.524969915764141</v>
      </c>
      <c r="M37" s="273">
        <f t="shared" si="48"/>
        <v>10.524969915764141</v>
      </c>
      <c r="N37" s="273">
        <f t="shared" si="49"/>
        <v>10.524969915764141</v>
      </c>
      <c r="O37" s="273">
        <f t="shared" si="50"/>
        <v>33494223639.870186</v>
      </c>
      <c r="P37" s="273">
        <f t="shared" si="51"/>
        <v>33494223639.870186</v>
      </c>
      <c r="Q37" s="273">
        <f t="shared" si="52"/>
        <v>33494223639.870186</v>
      </c>
      <c r="R37" s="274">
        <f t="shared" si="53"/>
        <v>16747111819.935095</v>
      </c>
      <c r="S37" s="275">
        <f t="shared" si="54"/>
        <v>16747111819.935095</v>
      </c>
      <c r="T37" s="275">
        <f t="shared" si="55"/>
        <v>16747111819.935095</v>
      </c>
    </row>
    <row r="38" spans="1:20" x14ac:dyDescent="0.25">
      <c r="A38" s="282"/>
      <c r="C38" s="188"/>
      <c r="D38" s="196"/>
      <c r="F38" s="196"/>
      <c r="G38" s="196"/>
      <c r="H38" s="39"/>
      <c r="I38" s="40"/>
      <c r="J38" s="30"/>
      <c r="K38" s="147" t="s">
        <v>150</v>
      </c>
      <c r="L38" s="148">
        <f t="shared" si="47"/>
        <v>10.524969915764141</v>
      </c>
      <c r="M38" s="183">
        <f t="shared" si="48"/>
        <v>10.524969915764141</v>
      </c>
      <c r="N38" s="183">
        <f t="shared" si="49"/>
        <v>10.524969915764141</v>
      </c>
      <c r="O38" s="148">
        <f t="shared" si="50"/>
        <v>33494223639.870186</v>
      </c>
      <c r="P38" s="183">
        <f t="shared" si="51"/>
        <v>33494223639.870186</v>
      </c>
      <c r="Q38" s="132">
        <f t="shared" si="52"/>
        <v>33494223639.870186</v>
      </c>
      <c r="R38" s="190">
        <f t="shared" si="53"/>
        <v>16747111819.935095</v>
      </c>
      <c r="S38" s="184">
        <f t="shared" si="54"/>
        <v>16747111819.935095</v>
      </c>
      <c r="T38" s="135">
        <f t="shared" si="55"/>
        <v>16747111819.935095</v>
      </c>
    </row>
    <row r="39" spans="1:20" s="276" customFormat="1" x14ac:dyDescent="0.25">
      <c r="A39" s="282"/>
      <c r="C39" s="267"/>
      <c r="D39" s="268"/>
      <c r="F39" s="268"/>
      <c r="G39" s="268"/>
      <c r="H39" s="269"/>
      <c r="I39" s="270"/>
      <c r="J39" s="271"/>
      <c r="K39" s="272" t="s">
        <v>150</v>
      </c>
      <c r="L39" s="273">
        <f t="shared" si="47"/>
        <v>10.524969915764141</v>
      </c>
      <c r="M39" s="273">
        <f>(I39-34.985)/-3.324</f>
        <v>10.524969915764141</v>
      </c>
      <c r="N39" s="273">
        <f t="shared" si="49"/>
        <v>10.524969915764141</v>
      </c>
      <c r="O39" s="273">
        <f t="shared" si="50"/>
        <v>33494223639.870186</v>
      </c>
      <c r="P39" s="273">
        <f t="shared" si="51"/>
        <v>33494223639.870186</v>
      </c>
      <c r="Q39" s="273">
        <f t="shared" si="52"/>
        <v>33494223639.870186</v>
      </c>
      <c r="R39" s="274">
        <f t="shared" si="53"/>
        <v>16747111819.935095</v>
      </c>
      <c r="S39" s="275">
        <f t="shared" si="54"/>
        <v>16747111819.935095</v>
      </c>
      <c r="T39" s="275">
        <f t="shared" si="55"/>
        <v>16747111819.935095</v>
      </c>
    </row>
    <row r="40" spans="1:20" s="276" customFormat="1" x14ac:dyDescent="0.25">
      <c r="A40" s="282"/>
      <c r="C40" s="267"/>
      <c r="D40" s="268"/>
      <c r="F40" s="268"/>
      <c r="G40" s="268"/>
      <c r="H40" s="269"/>
      <c r="I40" s="270"/>
      <c r="J40" s="271"/>
      <c r="K40" s="272" t="s">
        <v>150</v>
      </c>
      <c r="L40" s="273">
        <f t="shared" ref="L40" si="56">(H40-34.985)/-3.324</f>
        <v>10.524969915764141</v>
      </c>
      <c r="M40" s="273">
        <f>(I40-34.985)/-3.324</f>
        <v>10.524969915764141</v>
      </c>
      <c r="N40" s="273">
        <f t="shared" ref="N40" si="57">(J40-34.985)/-3.324</f>
        <v>10.524969915764141</v>
      </c>
      <c r="O40" s="273">
        <f t="shared" ref="O40" si="58">10^L40</f>
        <v>33494223639.870186</v>
      </c>
      <c r="P40" s="273">
        <f t="shared" ref="P40" si="59">10^M40</f>
        <v>33494223639.870186</v>
      </c>
      <c r="Q40" s="273">
        <f t="shared" ref="Q40" si="60">10^N40</f>
        <v>33494223639.870186</v>
      </c>
      <c r="R40" s="274">
        <f t="shared" ref="R40" si="61">O40*150/300</f>
        <v>16747111819.935095</v>
      </c>
      <c r="S40" s="275">
        <f t="shared" ref="S40" si="62">P40*150/300</f>
        <v>16747111819.935095</v>
      </c>
      <c r="T40" s="275">
        <f t="shared" ref="T40" si="63">Q40*150/300</f>
        <v>16747111819.935095</v>
      </c>
    </row>
    <row r="62" spans="14:14" x14ac:dyDescent="0.25">
      <c r="N62" s="41" t="b">
        <f>'I-Leg Count'!R7=J62*150/300</f>
        <v>0</v>
      </c>
    </row>
  </sheetData>
  <mergeCells count="15">
    <mergeCell ref="R5:T5"/>
    <mergeCell ref="R4:T4"/>
    <mergeCell ref="B7:B13"/>
    <mergeCell ref="R1:T3"/>
    <mergeCell ref="H4:K4"/>
    <mergeCell ref="L4:Q4"/>
    <mergeCell ref="D5:D6"/>
    <mergeCell ref="E5:E6"/>
    <mergeCell ref="C5:C6"/>
    <mergeCell ref="F2:G2"/>
    <mergeCell ref="B24:B27"/>
    <mergeCell ref="E24:E27"/>
    <mergeCell ref="E18:E23"/>
    <mergeCell ref="A24:A27"/>
    <mergeCell ref="B14:B2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zoomScale="115" zoomScaleNormal="115" workbookViewId="0">
      <selection activeCell="I8" sqref="I8"/>
    </sheetView>
  </sheetViews>
  <sheetFormatPr defaultRowHeight="15" x14ac:dyDescent="0.25"/>
  <cols>
    <col min="2" max="2" width="13.28515625" customWidth="1"/>
    <col min="3" max="3" width="31.5703125" bestFit="1" customWidth="1"/>
    <col min="4" max="4" width="7.42578125" bestFit="1" customWidth="1"/>
    <col min="5" max="5" width="7.28515625" bestFit="1" customWidth="1"/>
    <col min="6" max="6" width="13.5703125" bestFit="1" customWidth="1"/>
    <col min="7" max="7" width="14" customWidth="1"/>
    <col min="8" max="8" width="11.7109375" customWidth="1"/>
    <col min="9" max="9" width="11" customWidth="1"/>
    <col min="10" max="10" width="16.28515625" bestFit="1" customWidth="1"/>
    <col min="11" max="11" width="7.28515625" bestFit="1" customWidth="1"/>
    <col min="12" max="12" width="11.42578125" style="41" bestFit="1" customWidth="1"/>
    <col min="13" max="13" width="17.28515625" style="41" bestFit="1" customWidth="1"/>
    <col min="14" max="14" width="14.5703125" style="41" bestFit="1" customWidth="1"/>
    <col min="15" max="15" width="12.7109375" style="41" bestFit="1" customWidth="1"/>
    <col min="16" max="16" width="17.28515625" style="41" bestFit="1" customWidth="1"/>
    <col min="17" max="17" width="14.5703125" style="41" bestFit="1" customWidth="1"/>
    <col min="18" max="18" width="10.7109375" bestFit="1" customWidth="1"/>
    <col min="19" max="20" width="17.85546875" customWidth="1"/>
  </cols>
  <sheetData>
    <row r="1" spans="1:20" ht="15.75" thickBot="1" x14ac:dyDescent="0.3">
      <c r="A1" t="s">
        <v>181</v>
      </c>
      <c r="L1" s="125" t="s">
        <v>97</v>
      </c>
      <c r="M1" s="126" t="s">
        <v>98</v>
      </c>
      <c r="N1" s="127">
        <f>'Leg-Stds'!F15</f>
        <v>-3.3237874683632591</v>
      </c>
      <c r="R1" s="404" t="s">
        <v>148</v>
      </c>
      <c r="S1" s="405"/>
      <c r="T1" s="406"/>
    </row>
    <row r="2" spans="1:20" ht="15.75" thickBot="1" x14ac:dyDescent="0.3">
      <c r="F2" s="422" t="s">
        <v>31</v>
      </c>
      <c r="G2" s="423"/>
      <c r="L2" s="128" t="s">
        <v>129</v>
      </c>
      <c r="M2" s="129" t="s">
        <v>99</v>
      </c>
      <c r="N2" s="130">
        <f>'Leg-Stds'!F16</f>
        <v>34.985189328336631</v>
      </c>
      <c r="R2" s="407"/>
      <c r="S2" s="408"/>
      <c r="T2" s="409"/>
    </row>
    <row r="3" spans="1:20" ht="30.75" thickBot="1" x14ac:dyDescent="0.3">
      <c r="F3" s="140" t="s">
        <v>75</v>
      </c>
      <c r="G3" s="136" t="s">
        <v>70</v>
      </c>
      <c r="L3" s="128"/>
      <c r="M3" s="129" t="s">
        <v>100</v>
      </c>
      <c r="N3" s="131"/>
      <c r="R3" s="410"/>
      <c r="S3" s="411"/>
      <c r="T3" s="412"/>
    </row>
    <row r="4" spans="1:20" ht="15.75" thickBot="1" x14ac:dyDescent="0.3">
      <c r="F4" s="207" t="s">
        <v>73</v>
      </c>
      <c r="G4" s="207" t="s">
        <v>71</v>
      </c>
      <c r="H4" s="430" t="s">
        <v>146</v>
      </c>
      <c r="I4" s="431"/>
      <c r="J4" s="431"/>
      <c r="K4" s="432"/>
      <c r="L4" s="400" t="s">
        <v>145</v>
      </c>
      <c r="M4" s="401"/>
      <c r="N4" s="401"/>
      <c r="O4" s="401"/>
      <c r="P4" s="401"/>
      <c r="Q4" s="402"/>
      <c r="R4" s="400" t="s">
        <v>147</v>
      </c>
      <c r="S4" s="401"/>
      <c r="T4" s="402"/>
    </row>
    <row r="5" spans="1:20" ht="42" customHeight="1" thickBot="1" x14ac:dyDescent="0.3">
      <c r="C5" s="420" t="s">
        <v>21</v>
      </c>
      <c r="D5" s="416" t="s">
        <v>77</v>
      </c>
      <c r="E5" s="418" t="s">
        <v>0</v>
      </c>
      <c r="F5" s="136" t="s">
        <v>74</v>
      </c>
      <c r="G5" s="213" t="s">
        <v>69</v>
      </c>
      <c r="H5" s="217" t="s">
        <v>78</v>
      </c>
      <c r="I5" s="122" t="s">
        <v>80</v>
      </c>
      <c r="J5" s="123" t="s">
        <v>83</v>
      </c>
      <c r="K5" s="208"/>
      <c r="L5" s="116" t="s">
        <v>138</v>
      </c>
      <c r="M5" s="117" t="s">
        <v>139</v>
      </c>
      <c r="N5" s="118" t="s">
        <v>140</v>
      </c>
      <c r="O5" s="116" t="s">
        <v>138</v>
      </c>
      <c r="P5" s="117" t="s">
        <v>139</v>
      </c>
      <c r="Q5" s="219" t="s">
        <v>140</v>
      </c>
      <c r="R5" s="397" t="s">
        <v>144</v>
      </c>
      <c r="S5" s="398"/>
      <c r="T5" s="399"/>
    </row>
    <row r="6" spans="1:20" ht="34.9" customHeight="1" thickBot="1" x14ac:dyDescent="0.3">
      <c r="C6" s="421"/>
      <c r="D6" s="417"/>
      <c r="E6" s="419"/>
      <c r="F6" s="141" t="s">
        <v>76</v>
      </c>
      <c r="G6" s="214" t="s">
        <v>68</v>
      </c>
      <c r="H6" s="218" t="s">
        <v>79</v>
      </c>
      <c r="I6" s="120" t="s">
        <v>81</v>
      </c>
      <c r="J6" s="121" t="s">
        <v>84</v>
      </c>
      <c r="K6" s="146" t="s">
        <v>77</v>
      </c>
      <c r="L6" s="178" t="s">
        <v>114</v>
      </c>
      <c r="M6" s="179" t="s">
        <v>116</v>
      </c>
      <c r="N6" s="180" t="s">
        <v>118</v>
      </c>
      <c r="O6" s="119" t="s">
        <v>115</v>
      </c>
      <c r="P6" s="114" t="s">
        <v>117</v>
      </c>
      <c r="Q6" s="220" t="s">
        <v>119</v>
      </c>
      <c r="R6" s="142" t="s">
        <v>141</v>
      </c>
      <c r="S6" s="143" t="s">
        <v>142</v>
      </c>
      <c r="T6" s="144" t="s">
        <v>143</v>
      </c>
    </row>
    <row r="7" spans="1:20" ht="15.75" thickBot="1" x14ac:dyDescent="0.3">
      <c r="B7" s="197"/>
      <c r="C7" s="185" t="s">
        <v>28</v>
      </c>
      <c r="D7" s="4"/>
      <c r="E7" s="191" t="s">
        <v>162</v>
      </c>
      <c r="F7" s="170" t="s">
        <v>41</v>
      </c>
      <c r="G7" s="215">
        <v>8</v>
      </c>
      <c r="H7" s="167">
        <f>(26.5+26.8)/2</f>
        <v>26.65</v>
      </c>
      <c r="I7" s="40">
        <f>(28.74+28.58)/2</f>
        <v>28.659999999999997</v>
      </c>
      <c r="J7" s="30">
        <f>(29.16+29.04)/2</f>
        <v>29.1</v>
      </c>
      <c r="K7" s="149"/>
      <c r="L7" s="154">
        <f t="shared" ref="L7:N8" si="0">(H7-34.985)/-3.324</f>
        <v>2.5075210589651027</v>
      </c>
      <c r="M7" s="148">
        <f t="shared" si="0"/>
        <v>1.9028279181708794</v>
      </c>
      <c r="N7" s="155">
        <f t="shared" si="0"/>
        <v>1.7704572803850778</v>
      </c>
      <c r="O7" s="150">
        <f>10^L7</f>
        <v>321.75185465775502</v>
      </c>
      <c r="P7" s="148">
        <f>10^M7</f>
        <v>79.951739701601753</v>
      </c>
      <c r="Q7" s="221">
        <f>10^N7</f>
        <v>58.946399126481495</v>
      </c>
      <c r="R7" s="160">
        <f>O7*150/300</f>
        <v>160.87592732887751</v>
      </c>
      <c r="S7" s="113">
        <f>P7*150/300</f>
        <v>39.975869850800876</v>
      </c>
      <c r="T7" s="161">
        <f>Q7*150/300</f>
        <v>29.473199563240748</v>
      </c>
    </row>
    <row r="8" spans="1:20" ht="30" x14ac:dyDescent="0.25">
      <c r="B8" s="197" t="s">
        <v>149</v>
      </c>
      <c r="C8" s="186" t="s">
        <v>27</v>
      </c>
      <c r="D8" s="171"/>
      <c r="E8" s="172" t="s">
        <v>3</v>
      </c>
      <c r="F8" s="169" t="s">
        <v>41</v>
      </c>
      <c r="G8" s="216">
        <v>16</v>
      </c>
      <c r="H8" s="164">
        <f>(28.49+28.39)/2</f>
        <v>28.439999999999998</v>
      </c>
      <c r="I8" s="165">
        <f>(30.36+30.6)/2</f>
        <v>30.48</v>
      </c>
      <c r="J8" s="166">
        <f>(30.47+30.86)/2</f>
        <v>30.664999999999999</v>
      </c>
      <c r="K8" s="176"/>
      <c r="L8" s="151">
        <f t="shared" si="0"/>
        <v>1.9690132370637792</v>
      </c>
      <c r="M8" s="152">
        <f t="shared" si="0"/>
        <v>1.3552948255114319</v>
      </c>
      <c r="N8" s="153">
        <f t="shared" si="0"/>
        <v>1.2996389891696751</v>
      </c>
      <c r="O8" s="177">
        <f t="shared" ref="O8:Q11" si="1">10^L8</f>
        <v>93.113625557091794</v>
      </c>
      <c r="P8" s="152">
        <f t="shared" si="1"/>
        <v>22.661822078531223</v>
      </c>
      <c r="Q8" s="222">
        <f t="shared" si="1"/>
        <v>19.936044260578786</v>
      </c>
      <c r="R8" s="157">
        <f>O8*150/300</f>
        <v>46.556812778545897</v>
      </c>
      <c r="S8" s="158">
        <f t="shared" ref="S8:T16" si="2">P8*150/300</f>
        <v>11.330911039265612</v>
      </c>
      <c r="T8" s="159">
        <f t="shared" si="2"/>
        <v>9.968022130289393</v>
      </c>
    </row>
    <row r="9" spans="1:20" x14ac:dyDescent="0.25">
      <c r="B9" s="198"/>
      <c r="C9" s="209" t="s">
        <v>151</v>
      </c>
      <c r="D9" s="187"/>
      <c r="E9" s="192"/>
      <c r="F9" s="187"/>
      <c r="G9" s="424" t="s">
        <v>175</v>
      </c>
      <c r="H9" s="259">
        <f>28.67</f>
        <v>28.67</v>
      </c>
      <c r="I9" s="238" t="s">
        <v>82</v>
      </c>
      <c r="J9" s="239" t="s">
        <v>82</v>
      </c>
      <c r="K9" s="147" t="s">
        <v>150</v>
      </c>
      <c r="L9" s="148">
        <f t="shared" ref="L9:M17" si="3">(H9-34.985)/-3.324</f>
        <v>1.899819494584837</v>
      </c>
      <c r="M9" s="183" t="e">
        <f t="shared" ref="M9:N17" si="4">(I9-34.985)/-3.324</f>
        <v>#VALUE!</v>
      </c>
      <c r="N9" s="183" t="e">
        <f t="shared" si="4"/>
        <v>#VALUE!</v>
      </c>
      <c r="O9" s="148">
        <f t="shared" si="1"/>
        <v>79.399815741194416</v>
      </c>
      <c r="P9" s="183" t="e">
        <f t="shared" si="1"/>
        <v>#VALUE!</v>
      </c>
      <c r="Q9" s="223" t="e">
        <f t="shared" si="1"/>
        <v>#VALUE!</v>
      </c>
      <c r="R9" s="261">
        <f t="shared" ref="R9:T17" si="5">O9*150/300</f>
        <v>39.699907870597208</v>
      </c>
      <c r="S9" s="232" t="e">
        <f t="shared" si="2"/>
        <v>#VALUE!</v>
      </c>
      <c r="T9" s="233" t="e">
        <f t="shared" si="2"/>
        <v>#VALUE!</v>
      </c>
    </row>
    <row r="10" spans="1:20" x14ac:dyDescent="0.25">
      <c r="B10" s="198"/>
      <c r="C10" s="209" t="s">
        <v>152</v>
      </c>
      <c r="D10" s="187"/>
      <c r="E10" s="192"/>
      <c r="F10" s="187"/>
      <c r="G10" s="425"/>
      <c r="H10" s="259">
        <f>29.12</f>
        <v>29.12</v>
      </c>
      <c r="I10" s="238" t="s">
        <v>82</v>
      </c>
      <c r="J10" s="239" t="s">
        <v>82</v>
      </c>
      <c r="K10" s="147" t="s">
        <v>150</v>
      </c>
      <c r="L10" s="148">
        <f t="shared" si="3"/>
        <v>1.7644404332129959</v>
      </c>
      <c r="M10" s="183" t="e">
        <f t="shared" si="4"/>
        <v>#VALUE!</v>
      </c>
      <c r="N10" s="183" t="e">
        <f t="shared" si="4"/>
        <v>#VALUE!</v>
      </c>
      <c r="O10" s="148">
        <f t="shared" si="1"/>
        <v>58.135368976553117</v>
      </c>
      <c r="P10" s="183" t="e">
        <f t="shared" si="1"/>
        <v>#VALUE!</v>
      </c>
      <c r="Q10" s="223" t="e">
        <f t="shared" si="1"/>
        <v>#VALUE!</v>
      </c>
      <c r="R10" s="261">
        <f t="shared" si="5"/>
        <v>29.067684488276562</v>
      </c>
      <c r="S10" s="232" t="e">
        <f t="shared" si="2"/>
        <v>#VALUE!</v>
      </c>
      <c r="T10" s="233" t="e">
        <f t="shared" si="2"/>
        <v>#VALUE!</v>
      </c>
    </row>
    <row r="11" spans="1:20" x14ac:dyDescent="0.25">
      <c r="B11" s="198"/>
      <c r="C11" s="209" t="s">
        <v>153</v>
      </c>
      <c r="D11" s="187"/>
      <c r="E11" s="193"/>
      <c r="F11" s="187"/>
      <c r="G11" s="426"/>
      <c r="H11" s="259">
        <v>29.24</v>
      </c>
      <c r="I11" s="238" t="s">
        <v>82</v>
      </c>
      <c r="J11" s="239" t="s">
        <v>82</v>
      </c>
      <c r="K11" s="147" t="s">
        <v>150</v>
      </c>
      <c r="L11" s="148">
        <f t="shared" si="3"/>
        <v>1.7283393501805058</v>
      </c>
      <c r="M11" s="183" t="e">
        <f t="shared" si="4"/>
        <v>#VALUE!</v>
      </c>
      <c r="N11" s="183" t="e">
        <f t="shared" si="4"/>
        <v>#VALUE!</v>
      </c>
      <c r="O11" s="148">
        <f t="shared" si="1"/>
        <v>53.49822219557867</v>
      </c>
      <c r="P11" s="183" t="e">
        <f t="shared" si="1"/>
        <v>#VALUE!</v>
      </c>
      <c r="Q11" s="223" t="e">
        <f t="shared" si="1"/>
        <v>#VALUE!</v>
      </c>
      <c r="R11" s="261">
        <f t="shared" si="5"/>
        <v>26.749111097789335</v>
      </c>
      <c r="S11" s="232" t="e">
        <f t="shared" si="2"/>
        <v>#VALUE!</v>
      </c>
      <c r="T11" s="233" t="e">
        <f t="shared" si="2"/>
        <v>#VALUE!</v>
      </c>
    </row>
    <row r="12" spans="1:20" x14ac:dyDescent="0.25">
      <c r="B12" s="198"/>
      <c r="C12" s="248" t="s">
        <v>154</v>
      </c>
      <c r="D12" s="187"/>
      <c r="E12" s="391" t="s">
        <v>161</v>
      </c>
      <c r="F12" s="187"/>
      <c r="G12" s="424" t="s">
        <v>176</v>
      </c>
      <c r="H12" s="249">
        <v>29.48</v>
      </c>
      <c r="I12" s="238" t="s">
        <v>82</v>
      </c>
      <c r="J12" s="239" t="s">
        <v>82</v>
      </c>
      <c r="K12" s="147" t="s">
        <v>150</v>
      </c>
      <c r="L12" s="148">
        <f t="shared" si="3"/>
        <v>1.6561371841155232</v>
      </c>
      <c r="M12" s="183" t="e">
        <f>(I12-34.985)/-3.324</f>
        <v>#VALUE!</v>
      </c>
      <c r="N12" s="183" t="e">
        <f t="shared" si="4"/>
        <v>#VALUE!</v>
      </c>
      <c r="O12" s="148">
        <f>10^L12</f>
        <v>45.30406629275906</v>
      </c>
      <c r="P12" s="183" t="e">
        <f>10^M12</f>
        <v>#VALUE!</v>
      </c>
      <c r="Q12" s="223" t="e">
        <f>10^N12</f>
        <v>#VALUE!</v>
      </c>
      <c r="R12" s="260">
        <f t="shared" si="5"/>
        <v>22.65203314637953</v>
      </c>
      <c r="S12" s="232" t="e">
        <f t="shared" si="2"/>
        <v>#VALUE!</v>
      </c>
      <c r="T12" s="233" t="e">
        <f t="shared" si="2"/>
        <v>#VALUE!</v>
      </c>
    </row>
    <row r="13" spans="1:20" x14ac:dyDescent="0.25">
      <c r="B13" s="198"/>
      <c r="C13" s="248" t="s">
        <v>155</v>
      </c>
      <c r="D13" s="187"/>
      <c r="E13" s="392"/>
      <c r="F13" s="187"/>
      <c r="G13" s="425"/>
      <c r="H13" s="249">
        <v>29.85</v>
      </c>
      <c r="I13" s="238" t="s">
        <v>82</v>
      </c>
      <c r="J13" s="239" t="s">
        <v>82</v>
      </c>
      <c r="K13" s="147" t="s">
        <v>150</v>
      </c>
      <c r="L13" s="148">
        <f t="shared" si="3"/>
        <v>1.5448255114320091</v>
      </c>
      <c r="M13" s="183" t="e">
        <f t="shared" si="3"/>
        <v>#VALUE!</v>
      </c>
      <c r="N13" s="183" t="e">
        <f t="shared" si="4"/>
        <v>#VALUE!</v>
      </c>
      <c r="O13" s="148">
        <f t="shared" ref="O13:Q14" si="6">10^L13</f>
        <v>35.061097900304951</v>
      </c>
      <c r="P13" s="183" t="e">
        <f t="shared" si="6"/>
        <v>#VALUE!</v>
      </c>
      <c r="Q13" s="223" t="e">
        <f t="shared" si="6"/>
        <v>#VALUE!</v>
      </c>
      <c r="R13" s="260">
        <f t="shared" si="5"/>
        <v>17.530548950152475</v>
      </c>
      <c r="S13" s="232" t="e">
        <f t="shared" si="2"/>
        <v>#VALUE!</v>
      </c>
      <c r="T13" s="233" t="e">
        <f t="shared" si="2"/>
        <v>#VALUE!</v>
      </c>
    </row>
    <row r="14" spans="1:20" x14ac:dyDescent="0.25">
      <c r="B14" s="198"/>
      <c r="C14" s="248" t="s">
        <v>156</v>
      </c>
      <c r="D14" s="187"/>
      <c r="E14" s="392"/>
      <c r="F14" s="187"/>
      <c r="G14" s="425"/>
      <c r="H14" s="249">
        <v>30.48</v>
      </c>
      <c r="I14" s="238" t="s">
        <v>82</v>
      </c>
      <c r="J14" s="239" t="s">
        <v>82</v>
      </c>
      <c r="K14" s="147" t="s">
        <v>150</v>
      </c>
      <c r="L14" s="148">
        <f t="shared" si="3"/>
        <v>1.3552948255114319</v>
      </c>
      <c r="M14" s="183" t="e">
        <f t="shared" si="3"/>
        <v>#VALUE!</v>
      </c>
      <c r="N14" s="183" t="e">
        <f t="shared" si="4"/>
        <v>#VALUE!</v>
      </c>
      <c r="O14" s="148">
        <f t="shared" si="6"/>
        <v>22.661822078531223</v>
      </c>
      <c r="P14" s="183" t="e">
        <f t="shared" si="6"/>
        <v>#VALUE!</v>
      </c>
      <c r="Q14" s="223" t="e">
        <f t="shared" si="6"/>
        <v>#VALUE!</v>
      </c>
      <c r="R14" s="260">
        <f t="shared" si="5"/>
        <v>11.330911039265612</v>
      </c>
      <c r="S14" s="232" t="e">
        <f t="shared" si="2"/>
        <v>#VALUE!</v>
      </c>
      <c r="T14" s="233" t="e">
        <f t="shared" si="2"/>
        <v>#VALUE!</v>
      </c>
    </row>
    <row r="15" spans="1:20" x14ac:dyDescent="0.25">
      <c r="B15" s="198"/>
      <c r="C15" s="203" t="s">
        <v>157</v>
      </c>
      <c r="D15" s="187"/>
      <c r="E15" s="392"/>
      <c r="F15" s="187"/>
      <c r="G15" s="425"/>
      <c r="H15" s="250">
        <v>29.78</v>
      </c>
      <c r="I15" s="238" t="s">
        <v>82</v>
      </c>
      <c r="J15" s="239" t="s">
        <v>82</v>
      </c>
      <c r="K15" s="147" t="s">
        <v>150</v>
      </c>
      <c r="L15" s="148">
        <f t="shared" si="3"/>
        <v>1.5658844765342956</v>
      </c>
      <c r="M15" s="183" t="e">
        <f>(I15-34.985)/-3.324</f>
        <v>#VALUE!</v>
      </c>
      <c r="N15" s="183" t="e">
        <f t="shared" si="4"/>
        <v>#VALUE!</v>
      </c>
      <c r="O15" s="148">
        <f>10^L15</f>
        <v>36.803106339748567</v>
      </c>
      <c r="P15" s="183" t="e">
        <f>10^M15</f>
        <v>#VALUE!</v>
      </c>
      <c r="Q15" s="223" t="e">
        <f>10^N15</f>
        <v>#VALUE!</v>
      </c>
      <c r="R15" s="252">
        <f t="shared" si="5"/>
        <v>18.401553169874283</v>
      </c>
      <c r="S15" s="232" t="e">
        <f t="shared" si="2"/>
        <v>#VALUE!</v>
      </c>
      <c r="T15" s="233" t="e">
        <f t="shared" si="2"/>
        <v>#VALUE!</v>
      </c>
    </row>
    <row r="16" spans="1:20" x14ac:dyDescent="0.25">
      <c r="B16" s="198"/>
      <c r="C16" s="203" t="s">
        <v>158</v>
      </c>
      <c r="D16" s="187"/>
      <c r="E16" s="392"/>
      <c r="F16" s="187"/>
      <c r="G16" s="425"/>
      <c r="H16" s="250">
        <v>32.18</v>
      </c>
      <c r="I16" s="238" t="s">
        <v>82</v>
      </c>
      <c r="J16" s="239" t="s">
        <v>82</v>
      </c>
      <c r="K16" s="147" t="s">
        <v>150</v>
      </c>
      <c r="L16" s="148">
        <f t="shared" si="3"/>
        <v>0.84386281588447654</v>
      </c>
      <c r="M16" s="183" t="e">
        <f t="shared" si="3"/>
        <v>#VALUE!</v>
      </c>
      <c r="N16" s="183" t="e">
        <f t="shared" si="4"/>
        <v>#VALUE!</v>
      </c>
      <c r="O16" s="148">
        <f t="shared" ref="O16:Q17" si="7">10^L16</f>
        <v>6.9801188258322089</v>
      </c>
      <c r="P16" s="183" t="e">
        <f t="shared" si="7"/>
        <v>#VALUE!</v>
      </c>
      <c r="Q16" s="223" t="e">
        <f t="shared" si="7"/>
        <v>#VALUE!</v>
      </c>
      <c r="R16" s="252">
        <f t="shared" si="5"/>
        <v>3.490059412916104</v>
      </c>
      <c r="S16" s="232" t="e">
        <f t="shared" si="2"/>
        <v>#VALUE!</v>
      </c>
      <c r="T16" s="233" t="e">
        <f t="shared" si="2"/>
        <v>#VALUE!</v>
      </c>
    </row>
    <row r="17" spans="2:20" ht="15.75" thickBot="1" x14ac:dyDescent="0.3">
      <c r="B17" s="198"/>
      <c r="C17" s="204" t="s">
        <v>159</v>
      </c>
      <c r="D17" s="202"/>
      <c r="E17" s="429"/>
      <c r="F17" s="202"/>
      <c r="G17" s="427"/>
      <c r="H17" s="251">
        <v>34.74</v>
      </c>
      <c r="I17" s="240" t="s">
        <v>82</v>
      </c>
      <c r="J17" s="241" t="s">
        <v>82</v>
      </c>
      <c r="K17" s="210" t="s">
        <v>150</v>
      </c>
      <c r="L17" s="211">
        <f t="shared" si="3"/>
        <v>7.3706377858001645E-2</v>
      </c>
      <c r="M17" s="212" t="e">
        <f t="shared" si="3"/>
        <v>#VALUE!</v>
      </c>
      <c r="N17" s="212" t="e">
        <f t="shared" si="4"/>
        <v>#VALUE!</v>
      </c>
      <c r="O17" s="211">
        <f t="shared" si="7"/>
        <v>1.1849673327581638</v>
      </c>
      <c r="P17" s="212" t="e">
        <f t="shared" si="7"/>
        <v>#VALUE!</v>
      </c>
      <c r="Q17" s="224" t="e">
        <f t="shared" si="7"/>
        <v>#VALUE!</v>
      </c>
      <c r="R17" s="253">
        <f t="shared" si="5"/>
        <v>0.5924836663790819</v>
      </c>
      <c r="S17" s="234" t="e">
        <f t="shared" si="5"/>
        <v>#VALUE!</v>
      </c>
      <c r="T17" s="235" t="e">
        <f t="shared" si="5"/>
        <v>#VALUE!</v>
      </c>
    </row>
    <row r="18" spans="2:20" x14ac:dyDescent="0.25">
      <c r="B18" s="199">
        <v>40848</v>
      </c>
      <c r="C18" s="200" t="s">
        <v>163</v>
      </c>
      <c r="D18" s="106"/>
      <c r="E18" s="44"/>
      <c r="F18" s="106"/>
      <c r="G18" s="428" t="s">
        <v>175</v>
      </c>
      <c r="H18" s="255">
        <f>(32.41+32.21)/2</f>
        <v>32.31</v>
      </c>
      <c r="I18" s="242" t="s">
        <v>82</v>
      </c>
      <c r="J18" s="243" t="s">
        <v>82</v>
      </c>
      <c r="K18" s="226" t="s">
        <v>150</v>
      </c>
      <c r="L18" s="152">
        <f t="shared" ref="L18" si="8">(H18-34.985)/-3.324</f>
        <v>0.80475330926594379</v>
      </c>
      <c r="M18" s="225" t="e">
        <f t="shared" ref="M18" si="9">(I18-34.985)/-3.324</f>
        <v>#VALUE!</v>
      </c>
      <c r="N18" s="225" t="e">
        <f t="shared" ref="N18" si="10">(J18-34.985)/-3.324</f>
        <v>#VALUE!</v>
      </c>
      <c r="O18" s="152">
        <f t="shared" ref="O18" si="11">10^L18</f>
        <v>6.3790103862552456</v>
      </c>
      <c r="P18" s="225" t="e">
        <f t="shared" ref="P18" si="12">10^M18</f>
        <v>#VALUE!</v>
      </c>
      <c r="Q18" s="229" t="e">
        <f t="shared" ref="Q18" si="13">10^N18</f>
        <v>#VALUE!</v>
      </c>
      <c r="R18" s="263">
        <f t="shared" ref="R18" si="14">O18*150/300</f>
        <v>3.1895051931276228</v>
      </c>
      <c r="S18" s="236" t="e">
        <f t="shared" ref="S18" si="15">P18*150/300</f>
        <v>#VALUE!</v>
      </c>
      <c r="T18" s="237" t="e">
        <f t="shared" ref="T18" si="16">Q18*150/300</f>
        <v>#VALUE!</v>
      </c>
    </row>
    <row r="19" spans="2:20" x14ac:dyDescent="0.25">
      <c r="B19" s="198"/>
      <c r="C19" s="201" t="s">
        <v>164</v>
      </c>
      <c r="D19" s="187"/>
      <c r="E19" s="38"/>
      <c r="F19" s="187"/>
      <c r="G19" s="425"/>
      <c r="H19" s="256">
        <v>31.25</v>
      </c>
      <c r="I19" s="244" t="s">
        <v>82</v>
      </c>
      <c r="J19" s="245" t="s">
        <v>82</v>
      </c>
      <c r="K19" s="227" t="s">
        <v>150</v>
      </c>
      <c r="L19" s="148">
        <f t="shared" ref="L19:L29" si="17">(H19-34.985)/-3.324</f>
        <v>1.1236462093862816</v>
      </c>
      <c r="M19" s="183" t="e">
        <f t="shared" ref="M19:M29" si="18">(I19-34.985)/-3.324</f>
        <v>#VALUE!</v>
      </c>
      <c r="N19" s="183" t="e">
        <f t="shared" ref="N19:N29" si="19">(J19-34.985)/-3.324</f>
        <v>#VALUE!</v>
      </c>
      <c r="O19" s="148">
        <f t="shared" ref="O19:O29" si="20">10^L19</f>
        <v>13.293710272560993</v>
      </c>
      <c r="P19" s="183" t="e">
        <f t="shared" ref="P19:P29" si="21">10^M19</f>
        <v>#VALUE!</v>
      </c>
      <c r="Q19" s="223" t="e">
        <f t="shared" ref="Q19:Q29" si="22">10^N19</f>
        <v>#VALUE!</v>
      </c>
      <c r="R19" s="262">
        <f t="shared" ref="R19:R29" si="23">O19*150/300</f>
        <v>6.6468551362804966</v>
      </c>
      <c r="S19" s="232" t="e">
        <f t="shared" ref="S19:S29" si="24">P19*150/300</f>
        <v>#VALUE!</v>
      </c>
      <c r="T19" s="233" t="e">
        <f t="shared" ref="T19:T29" si="25">Q19*150/300</f>
        <v>#VALUE!</v>
      </c>
    </row>
    <row r="20" spans="2:20" x14ac:dyDescent="0.25">
      <c r="B20" s="198"/>
      <c r="C20" s="201" t="s">
        <v>165</v>
      </c>
      <c r="D20" s="187"/>
      <c r="E20" s="38"/>
      <c r="F20" s="187"/>
      <c r="G20" s="425"/>
      <c r="H20" s="256">
        <v>30.02</v>
      </c>
      <c r="I20" s="244" t="s">
        <v>82</v>
      </c>
      <c r="J20" s="245" t="s">
        <v>82</v>
      </c>
      <c r="K20" s="227" t="s">
        <v>150</v>
      </c>
      <c r="L20" s="148">
        <f t="shared" si="17"/>
        <v>1.4936823104693142</v>
      </c>
      <c r="M20" s="183" t="e">
        <f t="shared" si="18"/>
        <v>#VALUE!</v>
      </c>
      <c r="N20" s="183" t="e">
        <f t="shared" si="19"/>
        <v>#VALUE!</v>
      </c>
      <c r="O20" s="148">
        <f t="shared" si="20"/>
        <v>31.166089282369271</v>
      </c>
      <c r="P20" s="183" t="e">
        <f t="shared" si="21"/>
        <v>#VALUE!</v>
      </c>
      <c r="Q20" s="223" t="e">
        <f t="shared" si="22"/>
        <v>#VALUE!</v>
      </c>
      <c r="R20" s="262">
        <f t="shared" si="23"/>
        <v>15.583044641184637</v>
      </c>
      <c r="S20" s="232" t="e">
        <f t="shared" si="24"/>
        <v>#VALUE!</v>
      </c>
      <c r="T20" s="233" t="e">
        <f t="shared" si="25"/>
        <v>#VALUE!</v>
      </c>
    </row>
    <row r="21" spans="2:20" x14ac:dyDescent="0.25">
      <c r="B21" s="198"/>
      <c r="C21" s="201" t="s">
        <v>166</v>
      </c>
      <c r="D21" s="187"/>
      <c r="E21" s="38"/>
      <c r="F21" s="187"/>
      <c r="G21" s="425"/>
      <c r="H21" s="256">
        <v>32.840000000000003</v>
      </c>
      <c r="I21" s="244" t="s">
        <v>82</v>
      </c>
      <c r="J21" s="245" t="s">
        <v>82</v>
      </c>
      <c r="K21" s="227" t="s">
        <v>150</v>
      </c>
      <c r="L21" s="148">
        <f t="shared" si="17"/>
        <v>0.64530685920577502</v>
      </c>
      <c r="M21" s="183" t="e">
        <f t="shared" si="18"/>
        <v>#VALUE!</v>
      </c>
      <c r="N21" s="183" t="e">
        <f t="shared" si="19"/>
        <v>#VALUE!</v>
      </c>
      <c r="O21" s="148">
        <f t="shared" si="20"/>
        <v>4.4188255778472962</v>
      </c>
      <c r="P21" s="183" t="e">
        <f t="shared" si="21"/>
        <v>#VALUE!</v>
      </c>
      <c r="Q21" s="223" t="e">
        <f t="shared" si="22"/>
        <v>#VALUE!</v>
      </c>
      <c r="R21" s="254">
        <f t="shared" si="23"/>
        <v>2.2094127889236481</v>
      </c>
      <c r="S21" s="232" t="e">
        <f t="shared" si="24"/>
        <v>#VALUE!</v>
      </c>
      <c r="T21" s="233" t="e">
        <f t="shared" si="25"/>
        <v>#VALUE!</v>
      </c>
    </row>
    <row r="22" spans="2:20" x14ac:dyDescent="0.25">
      <c r="B22" s="198"/>
      <c r="C22" s="201" t="s">
        <v>167</v>
      </c>
      <c r="D22" s="187"/>
      <c r="E22" s="38"/>
      <c r="F22" s="187"/>
      <c r="G22" s="425"/>
      <c r="H22" s="256">
        <f>(37.23+37.51)/2</f>
        <v>37.369999999999997</v>
      </c>
      <c r="I22" s="244" t="s">
        <v>82</v>
      </c>
      <c r="J22" s="245" t="s">
        <v>82</v>
      </c>
      <c r="K22" s="227" t="s">
        <v>150</v>
      </c>
      <c r="L22" s="148">
        <f t="shared" si="17"/>
        <v>-0.71750902527075755</v>
      </c>
      <c r="M22" s="183" t="e">
        <f t="shared" si="18"/>
        <v>#VALUE!</v>
      </c>
      <c r="N22" s="183" t="e">
        <f t="shared" si="19"/>
        <v>#VALUE!</v>
      </c>
      <c r="O22" s="148">
        <f t="shared" si="20"/>
        <v>0.19164212363019745</v>
      </c>
      <c r="P22" s="183" t="e">
        <f t="shared" si="21"/>
        <v>#VALUE!</v>
      </c>
      <c r="Q22" s="223" t="e">
        <f t="shared" si="22"/>
        <v>#VALUE!</v>
      </c>
      <c r="R22" s="254">
        <f t="shared" si="23"/>
        <v>9.5821061815098724E-2</v>
      </c>
      <c r="S22" s="232" t="e">
        <f t="shared" si="24"/>
        <v>#VALUE!</v>
      </c>
      <c r="T22" s="233" t="e">
        <f t="shared" si="25"/>
        <v>#VALUE!</v>
      </c>
    </row>
    <row r="23" spans="2:20" x14ac:dyDescent="0.25">
      <c r="B23" s="198"/>
      <c r="C23" s="201" t="s">
        <v>168</v>
      </c>
      <c r="D23" s="187"/>
      <c r="E23" s="38"/>
      <c r="F23" s="187"/>
      <c r="G23" s="425"/>
      <c r="H23" s="256">
        <f>(35.79+36.01)/2</f>
        <v>35.9</v>
      </c>
      <c r="I23" s="244" t="s">
        <v>82</v>
      </c>
      <c r="J23" s="245" t="s">
        <v>82</v>
      </c>
      <c r="K23" s="227" t="s">
        <v>150</v>
      </c>
      <c r="L23" s="148">
        <f t="shared" si="17"/>
        <v>-0.27527075812274343</v>
      </c>
      <c r="M23" s="183" t="e">
        <f t="shared" si="18"/>
        <v>#VALUE!</v>
      </c>
      <c r="N23" s="183" t="e">
        <f t="shared" si="19"/>
        <v>#VALUE!</v>
      </c>
      <c r="O23" s="148">
        <f t="shared" si="20"/>
        <v>0.53055357086390409</v>
      </c>
      <c r="P23" s="183" t="e">
        <f t="shared" si="21"/>
        <v>#VALUE!</v>
      </c>
      <c r="Q23" s="223" t="e">
        <f t="shared" si="22"/>
        <v>#VALUE!</v>
      </c>
      <c r="R23" s="254">
        <f t="shared" si="23"/>
        <v>0.26527678543195204</v>
      </c>
      <c r="S23" s="232" t="e">
        <f t="shared" si="24"/>
        <v>#VALUE!</v>
      </c>
      <c r="T23" s="233" t="e">
        <f t="shared" si="25"/>
        <v>#VALUE!</v>
      </c>
    </row>
    <row r="24" spans="2:20" x14ac:dyDescent="0.25">
      <c r="B24" s="198"/>
      <c r="C24" s="205" t="s">
        <v>169</v>
      </c>
      <c r="D24" s="187"/>
      <c r="E24" s="38"/>
      <c r="F24" s="187"/>
      <c r="G24" s="425"/>
      <c r="H24" s="257">
        <f>(30.02+30.15)/2</f>
        <v>30.085000000000001</v>
      </c>
      <c r="I24" s="244" t="s">
        <v>82</v>
      </c>
      <c r="J24" s="245" t="s">
        <v>82</v>
      </c>
      <c r="K24" s="227" t="s">
        <v>150</v>
      </c>
      <c r="L24" s="148">
        <f t="shared" si="17"/>
        <v>1.4741275571600478</v>
      </c>
      <c r="M24" s="183" t="e">
        <f t="shared" si="18"/>
        <v>#VALUE!</v>
      </c>
      <c r="N24" s="183" t="e">
        <f t="shared" si="19"/>
        <v>#VALUE!</v>
      </c>
      <c r="O24" s="148">
        <f t="shared" si="20"/>
        <v>29.793913815946052</v>
      </c>
      <c r="P24" s="183" t="e">
        <f t="shared" si="21"/>
        <v>#VALUE!</v>
      </c>
      <c r="Q24" s="223" t="e">
        <f t="shared" si="22"/>
        <v>#VALUE!</v>
      </c>
      <c r="R24" s="258">
        <f t="shared" si="23"/>
        <v>14.896956907973026</v>
      </c>
      <c r="S24" s="232" t="e">
        <f t="shared" si="24"/>
        <v>#VALUE!</v>
      </c>
      <c r="T24" s="233" t="e">
        <f t="shared" si="25"/>
        <v>#VALUE!</v>
      </c>
    </row>
    <row r="25" spans="2:20" x14ac:dyDescent="0.25">
      <c r="B25" s="198"/>
      <c r="C25" s="205" t="s">
        <v>170</v>
      </c>
      <c r="D25" s="187"/>
      <c r="E25" s="38"/>
      <c r="F25" s="187"/>
      <c r="G25" s="425"/>
      <c r="H25" s="257">
        <f>(30.77+30.93)/2</f>
        <v>30.85</v>
      </c>
      <c r="I25" s="244" t="s">
        <v>82</v>
      </c>
      <c r="J25" s="245" t="s">
        <v>82</v>
      </c>
      <c r="K25" s="227" t="s">
        <v>150</v>
      </c>
      <c r="L25" s="148">
        <f t="shared" si="17"/>
        <v>1.2439831528279177</v>
      </c>
      <c r="M25" s="183" t="e">
        <f t="shared" si="18"/>
        <v>#VALUE!</v>
      </c>
      <c r="N25" s="183" t="e">
        <f t="shared" si="19"/>
        <v>#VALUE!</v>
      </c>
      <c r="O25" s="148">
        <f t="shared" si="20"/>
        <v>17.53812466546006</v>
      </c>
      <c r="P25" s="183" t="e">
        <f t="shared" si="21"/>
        <v>#VALUE!</v>
      </c>
      <c r="Q25" s="223" t="e">
        <f t="shared" si="22"/>
        <v>#VALUE!</v>
      </c>
      <c r="R25" s="264">
        <f t="shared" si="23"/>
        <v>8.7690623327300301</v>
      </c>
      <c r="S25" s="232" t="e">
        <f t="shared" si="24"/>
        <v>#VALUE!</v>
      </c>
      <c r="T25" s="233" t="e">
        <f t="shared" si="25"/>
        <v>#VALUE!</v>
      </c>
    </row>
    <row r="26" spans="2:20" x14ac:dyDescent="0.25">
      <c r="B26" s="198"/>
      <c r="C26" s="205" t="s">
        <v>171</v>
      </c>
      <c r="D26" s="187"/>
      <c r="E26" s="38"/>
      <c r="F26" s="187"/>
      <c r="G26" s="425"/>
      <c r="H26" s="257">
        <f>(34.32+33.9)/2</f>
        <v>34.11</v>
      </c>
      <c r="I26" s="244" t="s">
        <v>82</v>
      </c>
      <c r="J26" s="245" t="s">
        <v>82</v>
      </c>
      <c r="K26" s="227" t="s">
        <v>150</v>
      </c>
      <c r="L26" s="148">
        <f t="shared" si="17"/>
        <v>0.26323706377858003</v>
      </c>
      <c r="M26" s="183" t="e">
        <f t="shared" si="18"/>
        <v>#VALUE!</v>
      </c>
      <c r="N26" s="183" t="e">
        <f t="shared" si="19"/>
        <v>#VALUE!</v>
      </c>
      <c r="O26" s="148">
        <f t="shared" si="20"/>
        <v>1.8333148816774247</v>
      </c>
      <c r="P26" s="183" t="e">
        <f t="shared" si="21"/>
        <v>#VALUE!</v>
      </c>
      <c r="Q26" s="223" t="e">
        <f t="shared" si="22"/>
        <v>#VALUE!</v>
      </c>
      <c r="R26" s="258">
        <f t="shared" si="23"/>
        <v>0.91665744083871237</v>
      </c>
      <c r="S26" s="232" t="e">
        <f t="shared" si="24"/>
        <v>#VALUE!</v>
      </c>
      <c r="T26" s="233" t="e">
        <f t="shared" si="25"/>
        <v>#VALUE!</v>
      </c>
    </row>
    <row r="27" spans="2:20" x14ac:dyDescent="0.25">
      <c r="B27" s="198"/>
      <c r="C27" s="205" t="s">
        <v>172</v>
      </c>
      <c r="D27" s="187"/>
      <c r="E27" s="38"/>
      <c r="F27" s="187"/>
      <c r="G27" s="425"/>
      <c r="H27" s="257">
        <v>29.44</v>
      </c>
      <c r="I27" s="244" t="s">
        <v>82</v>
      </c>
      <c r="J27" s="245" t="s">
        <v>82</v>
      </c>
      <c r="K27" s="227" t="s">
        <v>150</v>
      </c>
      <c r="L27" s="148">
        <f t="shared" si="17"/>
        <v>1.6681708784596867</v>
      </c>
      <c r="M27" s="183" t="e">
        <f t="shared" si="18"/>
        <v>#VALUE!</v>
      </c>
      <c r="N27" s="183" t="e">
        <f t="shared" si="19"/>
        <v>#VALUE!</v>
      </c>
      <c r="O27" s="148">
        <f t="shared" si="20"/>
        <v>46.576932009280739</v>
      </c>
      <c r="P27" s="183" t="e">
        <f t="shared" si="21"/>
        <v>#VALUE!</v>
      </c>
      <c r="Q27" s="223" t="e">
        <f t="shared" si="22"/>
        <v>#VALUE!</v>
      </c>
      <c r="R27" s="258">
        <f t="shared" si="23"/>
        <v>23.28846600464037</v>
      </c>
      <c r="S27" s="232" t="e">
        <f t="shared" si="24"/>
        <v>#VALUE!</v>
      </c>
      <c r="T27" s="233" t="e">
        <f t="shared" si="25"/>
        <v>#VALUE!</v>
      </c>
    </row>
    <row r="28" spans="2:20" x14ac:dyDescent="0.25">
      <c r="B28" s="198"/>
      <c r="C28" s="205" t="s">
        <v>173</v>
      </c>
      <c r="D28" s="187"/>
      <c r="E28" s="38"/>
      <c r="F28" s="187"/>
      <c r="G28" s="425"/>
      <c r="H28" s="257">
        <v>40.78</v>
      </c>
      <c r="I28" s="244" t="s">
        <v>82</v>
      </c>
      <c r="J28" s="245" t="s">
        <v>82</v>
      </c>
      <c r="K28" s="227" t="s">
        <v>150</v>
      </c>
      <c r="L28" s="148">
        <f t="shared" si="17"/>
        <v>-1.7433814681107105</v>
      </c>
      <c r="M28" s="183" t="e">
        <f t="shared" si="18"/>
        <v>#VALUE!</v>
      </c>
      <c r="N28" s="183" t="e">
        <f t="shared" si="19"/>
        <v>#VALUE!</v>
      </c>
      <c r="O28" s="148">
        <f t="shared" si="20"/>
        <v>1.8055874684447987E-2</v>
      </c>
      <c r="P28" s="183" t="e">
        <f t="shared" si="21"/>
        <v>#VALUE!</v>
      </c>
      <c r="Q28" s="223" t="e">
        <f t="shared" si="22"/>
        <v>#VALUE!</v>
      </c>
      <c r="R28" s="258">
        <f t="shared" si="23"/>
        <v>9.0279373422239937E-3</v>
      </c>
      <c r="S28" s="232" t="e">
        <f t="shared" si="24"/>
        <v>#VALUE!</v>
      </c>
      <c r="T28" s="233" t="e">
        <f t="shared" si="25"/>
        <v>#VALUE!</v>
      </c>
    </row>
    <row r="29" spans="2:20" ht="15.75" thickBot="1" x14ac:dyDescent="0.3">
      <c r="B29" s="198"/>
      <c r="C29" s="206" t="s">
        <v>174</v>
      </c>
      <c r="D29" s="202"/>
      <c r="E29" s="72"/>
      <c r="F29" s="202"/>
      <c r="G29" s="427"/>
      <c r="H29" s="230" t="s">
        <v>82</v>
      </c>
      <c r="I29" s="246" t="s">
        <v>82</v>
      </c>
      <c r="J29" s="247" t="s">
        <v>82</v>
      </c>
      <c r="K29" s="228" t="s">
        <v>150</v>
      </c>
      <c r="L29" s="211" t="e">
        <f t="shared" si="17"/>
        <v>#VALUE!</v>
      </c>
      <c r="M29" s="212" t="e">
        <f t="shared" si="18"/>
        <v>#VALUE!</v>
      </c>
      <c r="N29" s="212" t="e">
        <f t="shared" si="19"/>
        <v>#VALUE!</v>
      </c>
      <c r="O29" s="211" t="e">
        <f t="shared" si="20"/>
        <v>#VALUE!</v>
      </c>
      <c r="P29" s="212" t="e">
        <f t="shared" si="21"/>
        <v>#VALUE!</v>
      </c>
      <c r="Q29" s="224" t="e">
        <f t="shared" si="22"/>
        <v>#VALUE!</v>
      </c>
      <c r="R29" s="231" t="e">
        <f t="shared" si="23"/>
        <v>#VALUE!</v>
      </c>
      <c r="S29" s="234" t="e">
        <f t="shared" si="24"/>
        <v>#VALUE!</v>
      </c>
      <c r="T29" s="235" t="e">
        <f t="shared" si="25"/>
        <v>#VALUE!</v>
      </c>
    </row>
    <row r="57" spans="14:14" x14ac:dyDescent="0.25">
      <c r="N57" s="41" t="b">
        <f>'I-Leg Count'!R7=J57*150/300</f>
        <v>0</v>
      </c>
    </row>
  </sheetData>
  <mergeCells count="13">
    <mergeCell ref="G12:G17"/>
    <mergeCell ref="G18:G29"/>
    <mergeCell ref="E12:E17"/>
    <mergeCell ref="R1:T3"/>
    <mergeCell ref="F2:G2"/>
    <mergeCell ref="H4:K4"/>
    <mergeCell ref="L4:Q4"/>
    <mergeCell ref="R4:T4"/>
    <mergeCell ref="C5:C6"/>
    <mergeCell ref="D5:D6"/>
    <mergeCell ref="E5:E6"/>
    <mergeCell ref="R5:T5"/>
    <mergeCell ref="G9:G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I6" sqref="I6:I9"/>
    </sheetView>
  </sheetViews>
  <sheetFormatPr defaultRowHeight="15" x14ac:dyDescent="0.25"/>
  <cols>
    <col min="1" max="1" width="13.28515625" customWidth="1"/>
    <col min="2" max="2" width="13" customWidth="1"/>
    <col min="3" max="3" width="14.140625" customWidth="1"/>
    <col min="4" max="4" width="18.28515625" style="41" customWidth="1"/>
    <col min="5" max="5" width="11.28515625" bestFit="1" customWidth="1"/>
    <col min="6" max="6" width="13.5703125" bestFit="1" customWidth="1"/>
    <col min="7" max="7" width="14.7109375" bestFit="1" customWidth="1"/>
    <col min="8" max="8" width="12" bestFit="1" customWidth="1"/>
    <col min="9" max="9" width="13.5703125" bestFit="1" customWidth="1"/>
    <col min="10" max="10" width="13.7109375" customWidth="1"/>
    <col min="11" max="11" width="14.85546875" customWidth="1"/>
    <col min="12" max="12" width="14.42578125" customWidth="1"/>
    <col min="13" max="13" width="21.5703125" customWidth="1"/>
    <col min="14" max="14" width="14.5703125" customWidth="1"/>
    <col min="15" max="15" width="19.28515625" bestFit="1" customWidth="1"/>
    <col min="16" max="16" width="18" customWidth="1"/>
    <col min="17" max="17" width="16.42578125" customWidth="1"/>
  </cols>
  <sheetData>
    <row r="1" spans="1:17" ht="15.75" thickBot="1" x14ac:dyDescent="0.3"/>
    <row r="2" spans="1:17" x14ac:dyDescent="0.25">
      <c r="C2" s="434" t="s">
        <v>130</v>
      </c>
      <c r="D2" s="434"/>
      <c r="E2" s="434"/>
      <c r="F2" s="434"/>
      <c r="G2" s="434"/>
      <c r="H2" s="434"/>
      <c r="I2" s="434"/>
      <c r="J2" s="44"/>
      <c r="K2" s="44"/>
      <c r="L2" s="44"/>
      <c r="M2" s="44"/>
      <c r="N2" s="45"/>
    </row>
    <row r="3" spans="1:17" x14ac:dyDescent="0.25">
      <c r="C3" s="433" t="s">
        <v>192</v>
      </c>
      <c r="D3" s="433"/>
      <c r="E3" s="433"/>
      <c r="F3" s="433"/>
      <c r="G3" s="433"/>
      <c r="H3" s="433"/>
      <c r="I3" s="433"/>
      <c r="J3" s="38"/>
      <c r="K3" s="38"/>
      <c r="L3" s="38"/>
      <c r="M3" s="38"/>
      <c r="N3" s="48"/>
    </row>
    <row r="4" spans="1:17" ht="30.6" customHeight="1" x14ac:dyDescent="0.25">
      <c r="A4" s="291" t="s">
        <v>199</v>
      </c>
      <c r="B4" s="287" t="s">
        <v>190</v>
      </c>
      <c r="C4" s="287" t="s">
        <v>191</v>
      </c>
      <c r="D4" s="287"/>
      <c r="E4" s="287"/>
      <c r="F4" s="435" t="s">
        <v>102</v>
      </c>
      <c r="G4" s="435"/>
      <c r="H4" s="435"/>
      <c r="I4" s="288" t="s">
        <v>190</v>
      </c>
      <c r="J4" s="281"/>
      <c r="K4" s="49"/>
      <c r="L4" s="49"/>
      <c r="M4" s="38"/>
      <c r="N4" s="48"/>
    </row>
    <row r="5" spans="1:17" ht="33.4" customHeight="1" x14ac:dyDescent="0.25">
      <c r="A5" s="285" t="s">
        <v>194</v>
      </c>
      <c r="B5" s="286" t="s">
        <v>193</v>
      </c>
      <c r="C5" s="286" t="s">
        <v>89</v>
      </c>
      <c r="D5" s="11" t="s">
        <v>90</v>
      </c>
      <c r="E5" s="289"/>
      <c r="F5" s="268" t="s">
        <v>91</v>
      </c>
      <c r="G5" s="268" t="s">
        <v>92</v>
      </c>
      <c r="H5" s="268" t="s">
        <v>93</v>
      </c>
      <c r="I5" s="286" t="s">
        <v>193</v>
      </c>
      <c r="J5" s="53"/>
      <c r="K5" s="195"/>
      <c r="L5" s="53"/>
      <c r="M5" s="38"/>
      <c r="N5" s="48"/>
      <c r="P5" s="55" t="s">
        <v>89</v>
      </c>
      <c r="Q5" s="55" t="s">
        <v>95</v>
      </c>
    </row>
    <row r="6" spans="1:17" x14ac:dyDescent="0.25">
      <c r="A6" s="196" t="s">
        <v>195</v>
      </c>
      <c r="B6" s="59">
        <v>23.099999999999998</v>
      </c>
      <c r="C6" s="290">
        <f>(313.3+304.4+309.6+310.6)*2</f>
        <v>2475.8000000000002</v>
      </c>
      <c r="D6" s="284">
        <f>LOG(C6)</f>
        <v>3.393715558601472</v>
      </c>
      <c r="E6" s="10"/>
      <c r="F6" s="196">
        <v>23.13</v>
      </c>
      <c r="G6" s="196">
        <v>23.15</v>
      </c>
      <c r="H6" s="196">
        <v>23.02</v>
      </c>
      <c r="I6" s="148">
        <f>AVERAGE(F6:H6)</f>
        <v>23.099999999999998</v>
      </c>
      <c r="J6" s="53"/>
      <c r="K6" s="49"/>
      <c r="L6" s="49"/>
      <c r="M6" s="38"/>
      <c r="N6" s="48"/>
      <c r="P6" s="59">
        <v>511</v>
      </c>
      <c r="Q6" s="59">
        <v>24.414999999999999</v>
      </c>
    </row>
    <row r="7" spans="1:17" x14ac:dyDescent="0.25">
      <c r="A7" s="196" t="s">
        <v>196</v>
      </c>
      <c r="B7" s="59">
        <v>26.313333333333333</v>
      </c>
      <c r="C7" s="290">
        <f>(31+31.1+29.6+32.2)*2</f>
        <v>247.8</v>
      </c>
      <c r="D7" s="284">
        <f t="shared" ref="D7:D9" si="0">LOG(C7)</f>
        <v>2.3941013020400446</v>
      </c>
      <c r="E7" s="10"/>
      <c r="F7" s="196">
        <v>26.17</v>
      </c>
      <c r="G7" s="196">
        <v>26.54</v>
      </c>
      <c r="H7" s="60">
        <v>26.23</v>
      </c>
      <c r="I7" s="148">
        <f>AVERAGE(F7:H7)</f>
        <v>26.313333333333333</v>
      </c>
      <c r="J7" s="53"/>
      <c r="K7" s="49"/>
      <c r="L7" s="49"/>
      <c r="M7" s="38"/>
      <c r="N7" s="48"/>
      <c r="P7" s="59">
        <v>50.57</v>
      </c>
      <c r="Q7" s="59">
        <v>28.083333333333332</v>
      </c>
    </row>
    <row r="8" spans="1:17" x14ac:dyDescent="0.25">
      <c r="A8" s="196" t="s">
        <v>197</v>
      </c>
      <c r="B8" s="59">
        <v>29.666666666666668</v>
      </c>
      <c r="C8" s="290">
        <f>(2.7+2.6+3.1+3.3)*2</f>
        <v>23.4</v>
      </c>
      <c r="D8" s="284">
        <f t="shared" si="0"/>
        <v>1.3692158574101427</v>
      </c>
      <c r="E8" s="10"/>
      <c r="F8" s="196">
        <v>29.74</v>
      </c>
      <c r="G8" s="196">
        <v>29.81</v>
      </c>
      <c r="H8" s="60">
        <v>29.45</v>
      </c>
      <c r="I8" s="148">
        <f>AVERAGE(F8:H8)</f>
        <v>29.666666666666668</v>
      </c>
      <c r="J8" s="53"/>
      <c r="K8" s="49"/>
      <c r="L8" s="49"/>
      <c r="M8" s="38"/>
      <c r="N8" s="48"/>
      <c r="P8" s="59">
        <v>5</v>
      </c>
      <c r="Q8" s="59">
        <v>31.569999999999997</v>
      </c>
    </row>
    <row r="9" spans="1:17" x14ac:dyDescent="0.25">
      <c r="A9" s="196" t="s">
        <v>198</v>
      </c>
      <c r="B9" s="59">
        <v>33.93333333333333</v>
      </c>
      <c r="C9" s="290">
        <f>(0.35+0.378+0.383+0.238)*2</f>
        <v>2.698</v>
      </c>
      <c r="D9" s="284">
        <f t="shared" si="0"/>
        <v>0.43104194533588541</v>
      </c>
      <c r="E9" s="10"/>
      <c r="F9" s="196">
        <v>33.630000000000003</v>
      </c>
      <c r="G9" s="196">
        <v>33.97</v>
      </c>
      <c r="H9" s="60">
        <v>34.200000000000003</v>
      </c>
      <c r="I9" s="148">
        <f>AVERAGE(F9:H9)</f>
        <v>33.93333333333333</v>
      </c>
      <c r="J9" s="53"/>
      <c r="K9" s="49"/>
      <c r="L9" s="49"/>
      <c r="M9" s="38"/>
      <c r="N9" s="48"/>
      <c r="P9" s="59">
        <v>0.44</v>
      </c>
      <c r="Q9" s="59">
        <v>34.913333333333334</v>
      </c>
    </row>
    <row r="10" spans="1:17" x14ac:dyDescent="0.25">
      <c r="C10" s="46"/>
      <c r="D10" s="47"/>
      <c r="E10" s="38"/>
      <c r="F10" s="53"/>
      <c r="G10" s="53"/>
      <c r="H10" s="53"/>
      <c r="I10" s="53"/>
      <c r="J10" s="53"/>
      <c r="K10" s="49"/>
      <c r="L10" s="49"/>
      <c r="M10" s="38"/>
      <c r="N10" s="48"/>
    </row>
    <row r="11" spans="1:17" x14ac:dyDescent="0.25">
      <c r="C11" s="46"/>
      <c r="D11" s="47"/>
      <c r="E11" s="38"/>
      <c r="F11" s="38"/>
      <c r="G11" s="38"/>
      <c r="H11" s="38"/>
      <c r="I11" s="49"/>
      <c r="J11" s="49"/>
      <c r="K11" s="49"/>
      <c r="L11" s="49"/>
      <c r="M11" s="38"/>
      <c r="N11" s="48"/>
    </row>
    <row r="12" spans="1:17" x14ac:dyDescent="0.25">
      <c r="C12" s="46"/>
      <c r="D12" s="47"/>
      <c r="E12" s="38"/>
      <c r="F12" s="38"/>
      <c r="G12" s="38"/>
      <c r="H12" s="38"/>
      <c r="I12" s="49"/>
      <c r="J12" s="49"/>
      <c r="K12" s="49"/>
      <c r="L12" s="49"/>
      <c r="M12" s="38"/>
      <c r="N12" s="48"/>
    </row>
    <row r="13" spans="1:17" x14ac:dyDescent="0.25">
      <c r="C13" s="46"/>
      <c r="D13" s="283" t="s">
        <v>96</v>
      </c>
      <c r="E13" s="38"/>
      <c r="F13" s="38"/>
      <c r="G13" s="62">
        <f>10^(-1/G15)-1</f>
        <v>0.89187694505860859</v>
      </c>
      <c r="H13" s="38"/>
      <c r="I13" s="49"/>
      <c r="J13" s="49"/>
      <c r="K13" s="49"/>
      <c r="L13" s="49"/>
      <c r="M13" s="38"/>
      <c r="N13" s="48"/>
    </row>
    <row r="14" spans="1:17" x14ac:dyDescent="0.25">
      <c r="C14" s="46"/>
      <c r="D14" s="63"/>
      <c r="E14" s="38"/>
      <c r="F14" s="38"/>
      <c r="G14" s="38"/>
      <c r="H14" s="38"/>
      <c r="I14" s="38"/>
      <c r="J14" s="38"/>
      <c r="K14" s="38"/>
      <c r="L14" s="38"/>
      <c r="M14" s="38"/>
      <c r="N14" s="48"/>
    </row>
    <row r="15" spans="1:17" x14ac:dyDescent="0.25">
      <c r="C15" s="46"/>
      <c r="E15" s="64" t="s">
        <v>97</v>
      </c>
      <c r="F15" s="65" t="s">
        <v>98</v>
      </c>
      <c r="G15" s="66">
        <f>LINEST(I6:I9,D6:D9)</f>
        <v>-3.6115048630060396</v>
      </c>
      <c r="H15" s="38"/>
      <c r="I15" s="38"/>
      <c r="J15" s="38"/>
      <c r="K15" s="38"/>
      <c r="L15" s="38"/>
      <c r="M15" s="38"/>
      <c r="N15" s="48"/>
    </row>
    <row r="16" spans="1:17" x14ac:dyDescent="0.25">
      <c r="C16" s="46"/>
      <c r="E16" s="32"/>
      <c r="F16" s="67" t="s">
        <v>99</v>
      </c>
      <c r="G16" s="68">
        <f>INDEX(LINEST(I6:I9,D6:D9),2)</f>
        <v>35.104425470252586</v>
      </c>
      <c r="H16" s="38"/>
      <c r="I16" s="38"/>
      <c r="J16" s="38"/>
      <c r="K16" s="38"/>
      <c r="L16" s="38"/>
      <c r="M16" s="38"/>
      <c r="N16" s="48"/>
    </row>
    <row r="17" spans="3:14" x14ac:dyDescent="0.25">
      <c r="C17" s="46"/>
      <c r="E17" s="34"/>
      <c r="F17" s="69" t="s">
        <v>100</v>
      </c>
      <c r="G17" s="36"/>
      <c r="H17" s="38"/>
      <c r="I17" s="38"/>
      <c r="J17" s="38"/>
      <c r="K17" s="38"/>
      <c r="L17" s="38"/>
      <c r="M17" s="38"/>
      <c r="N17" s="48"/>
    </row>
    <row r="18" spans="3:14" ht="15.75" thickBot="1" x14ac:dyDescent="0.3">
      <c r="C18" s="70"/>
      <c r="D18" s="71"/>
      <c r="E18" s="72"/>
      <c r="F18" s="72"/>
      <c r="G18" s="72"/>
      <c r="H18" s="72"/>
      <c r="I18" s="72"/>
      <c r="J18" s="72"/>
      <c r="K18" s="72"/>
      <c r="L18" s="72"/>
      <c r="M18" s="72"/>
      <c r="N18" s="73"/>
    </row>
    <row r="19" spans="3:14" x14ac:dyDescent="0.25">
      <c r="C19" s="38"/>
      <c r="D19" s="47"/>
      <c r="E19" s="38"/>
      <c r="F19" s="38"/>
      <c r="G19" s="38"/>
      <c r="H19" s="38"/>
      <c r="I19" s="38"/>
      <c r="J19" s="38"/>
      <c r="K19" s="38"/>
      <c r="L19" s="38"/>
      <c r="M19" s="38"/>
    </row>
    <row r="20" spans="3:14" x14ac:dyDescent="0.25">
      <c r="D20"/>
      <c r="M20" s="38"/>
    </row>
    <row r="21" spans="3:14" x14ac:dyDescent="0.25">
      <c r="D21"/>
      <c r="M21" s="38"/>
    </row>
    <row r="22" spans="3:14" x14ac:dyDescent="0.25">
      <c r="D22"/>
      <c r="M22" s="38"/>
    </row>
    <row r="23" spans="3:14" x14ac:dyDescent="0.25">
      <c r="D23"/>
    </row>
    <row r="24" spans="3:14" ht="13.9" customHeight="1" x14ac:dyDescent="0.25">
      <c r="D24"/>
    </row>
    <row r="25" spans="3:14" x14ac:dyDescent="0.25">
      <c r="D25"/>
    </row>
    <row r="26" spans="3:14" x14ac:dyDescent="0.25">
      <c r="D26"/>
    </row>
    <row r="27" spans="3:14" x14ac:dyDescent="0.25">
      <c r="D27"/>
    </row>
    <row r="28" spans="3:14" x14ac:dyDescent="0.25">
      <c r="D28"/>
    </row>
    <row r="29" spans="3:14" x14ac:dyDescent="0.25">
      <c r="D29"/>
    </row>
    <row r="30" spans="3:14" x14ac:dyDescent="0.25">
      <c r="D30"/>
    </row>
    <row r="31" spans="3:14" x14ac:dyDescent="0.25">
      <c r="D31"/>
    </row>
    <row r="32" spans="3:14" x14ac:dyDescent="0.25">
      <c r="D32"/>
    </row>
    <row r="33" spans="4:4" x14ac:dyDescent="0.25">
      <c r="D33"/>
    </row>
    <row r="34" spans="4:4" x14ac:dyDescent="0.25">
      <c r="D34"/>
    </row>
    <row r="35" spans="4:4" x14ac:dyDescent="0.25">
      <c r="D35"/>
    </row>
    <row r="36" spans="4:4" x14ac:dyDescent="0.25">
      <c r="D36"/>
    </row>
    <row r="37" spans="4:4" x14ac:dyDescent="0.25">
      <c r="D37"/>
    </row>
    <row r="38" spans="4:4" ht="15" customHeight="1" x14ac:dyDescent="0.25">
      <c r="D38"/>
    </row>
    <row r="39" spans="4:4" ht="15" customHeight="1" x14ac:dyDescent="0.25">
      <c r="D39"/>
    </row>
    <row r="40" spans="4:4" x14ac:dyDescent="0.25">
      <c r="D40"/>
    </row>
    <row r="41" spans="4:4" x14ac:dyDescent="0.25">
      <c r="D41"/>
    </row>
    <row r="42" spans="4:4" x14ac:dyDescent="0.25">
      <c r="D42"/>
    </row>
    <row r="43" spans="4:4" x14ac:dyDescent="0.25">
      <c r="D43"/>
    </row>
    <row r="44" spans="4:4" x14ac:dyDescent="0.25">
      <c r="D44"/>
    </row>
    <row r="45" spans="4:4" x14ac:dyDescent="0.25">
      <c r="D45"/>
    </row>
    <row r="46" spans="4:4" x14ac:dyDescent="0.25">
      <c r="D46"/>
    </row>
    <row r="47" spans="4:4" x14ac:dyDescent="0.25">
      <c r="D47"/>
    </row>
    <row r="48" spans="4:4" x14ac:dyDescent="0.25">
      <c r="D48"/>
    </row>
    <row r="49" spans="4:8" x14ac:dyDescent="0.25">
      <c r="D49"/>
    </row>
    <row r="50" spans="4:8" x14ac:dyDescent="0.25">
      <c r="D50"/>
    </row>
    <row r="51" spans="4:8" x14ac:dyDescent="0.25">
      <c r="D51"/>
    </row>
    <row r="52" spans="4:8" x14ac:dyDescent="0.25">
      <c r="D52"/>
    </row>
    <row r="53" spans="4:8" x14ac:dyDescent="0.25">
      <c r="D53"/>
    </row>
    <row r="63" spans="4:8" x14ac:dyDescent="0.25">
      <c r="H63" s="389"/>
    </row>
    <row r="64" spans="4:8" x14ac:dyDescent="0.25">
      <c r="H64" s="389"/>
    </row>
  </sheetData>
  <mergeCells count="4">
    <mergeCell ref="H63:H64"/>
    <mergeCell ref="C3:I3"/>
    <mergeCell ref="C2:I2"/>
    <mergeCell ref="F4:H4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zoomScale="115" zoomScaleNormal="115" workbookViewId="0">
      <selection activeCell="B5" sqref="B5:K16"/>
    </sheetView>
  </sheetViews>
  <sheetFormatPr defaultRowHeight="15" x14ac:dyDescent="0.25"/>
  <cols>
    <col min="1" max="1" width="11.85546875" customWidth="1"/>
    <col min="2" max="2" width="22.85546875" customWidth="1"/>
    <col min="3" max="3" width="7.42578125" hidden="1" customWidth="1"/>
    <col min="4" max="4" width="8.7109375" hidden="1" customWidth="1"/>
    <col min="5" max="6" width="14" hidden="1" customWidth="1"/>
    <col min="7" max="7" width="11.7109375" customWidth="1"/>
    <col min="8" max="8" width="8.7109375" hidden="1" customWidth="1"/>
    <col min="9" max="9" width="13.140625" style="41" hidden="1" customWidth="1"/>
    <col min="10" max="11" width="17" style="41" customWidth="1"/>
    <col min="12" max="12" width="16.7109375" style="41" customWidth="1"/>
    <col min="13" max="13" width="11.7109375" style="41" bestFit="1" customWidth="1"/>
    <col min="14" max="14" width="16.5703125" style="41" bestFit="1" customWidth="1"/>
    <col min="15" max="15" width="13.85546875" style="41" bestFit="1" customWidth="1"/>
    <col min="16" max="18" width="12.42578125" customWidth="1"/>
  </cols>
  <sheetData>
    <row r="1" spans="1:18" ht="15.75" thickBot="1" x14ac:dyDescent="0.3">
      <c r="A1" t="s">
        <v>182</v>
      </c>
      <c r="I1" s="125" t="s">
        <v>97</v>
      </c>
      <c r="J1" s="126" t="s">
        <v>98</v>
      </c>
      <c r="K1" s="126"/>
      <c r="L1" s="127">
        <f>'Ec 078 Stds'!G15</f>
        <v>-3.6115048630060396</v>
      </c>
      <c r="P1" s="404" t="s">
        <v>148</v>
      </c>
      <c r="Q1" s="405"/>
      <c r="R1" s="406"/>
    </row>
    <row r="2" spans="1:18" ht="15.75" thickBot="1" x14ac:dyDescent="0.3">
      <c r="E2" s="422" t="s">
        <v>31</v>
      </c>
      <c r="F2" s="423"/>
      <c r="I2" s="128" t="s">
        <v>129</v>
      </c>
      <c r="J2" s="129" t="s">
        <v>99</v>
      </c>
      <c r="K2" s="129"/>
      <c r="L2" s="130">
        <f>'Ec 078 Stds'!G16</f>
        <v>35.104425470252586</v>
      </c>
      <c r="P2" s="407"/>
      <c r="Q2" s="408"/>
      <c r="R2" s="409"/>
    </row>
    <row r="3" spans="1:18" ht="30.75" thickBot="1" x14ac:dyDescent="0.3">
      <c r="E3" s="140" t="s">
        <v>75</v>
      </c>
      <c r="F3" s="136" t="s">
        <v>70</v>
      </c>
      <c r="I3" s="128"/>
      <c r="J3" s="129" t="s">
        <v>100</v>
      </c>
      <c r="K3" s="129"/>
      <c r="L3" s="131"/>
      <c r="P3" s="410"/>
      <c r="Q3" s="411"/>
      <c r="R3" s="412"/>
    </row>
    <row r="4" spans="1:18" ht="39" customHeight="1" thickBot="1" x14ac:dyDescent="0.3">
      <c r="E4" s="207" t="s">
        <v>73</v>
      </c>
      <c r="F4" s="207" t="s">
        <v>71</v>
      </c>
      <c r="G4" s="265" t="s">
        <v>146</v>
      </c>
      <c r="H4" s="298"/>
      <c r="I4" s="278" t="s">
        <v>145</v>
      </c>
      <c r="J4" s="279"/>
      <c r="K4" s="279"/>
      <c r="L4" s="279"/>
      <c r="M4" s="279"/>
      <c r="N4" s="279"/>
      <c r="O4" s="280"/>
      <c r="P4" s="278" t="s">
        <v>147</v>
      </c>
      <c r="Q4" s="279"/>
      <c r="R4" s="280"/>
    </row>
    <row r="5" spans="1:18" ht="42" customHeight="1" x14ac:dyDescent="0.25">
      <c r="B5" s="436" t="s">
        <v>212</v>
      </c>
      <c r="C5" s="438" t="s">
        <v>77</v>
      </c>
      <c r="D5" s="440" t="s">
        <v>0</v>
      </c>
      <c r="E5" s="313" t="s">
        <v>74</v>
      </c>
      <c r="F5" s="314" t="s">
        <v>69</v>
      </c>
      <c r="G5" s="309" t="s">
        <v>209</v>
      </c>
      <c r="H5" s="315"/>
      <c r="I5" s="316" t="s">
        <v>189</v>
      </c>
      <c r="J5" s="301" t="s">
        <v>189</v>
      </c>
      <c r="K5" s="301" t="s">
        <v>210</v>
      </c>
      <c r="L5" s="293" t="s">
        <v>188</v>
      </c>
      <c r="M5"/>
      <c r="N5"/>
      <c r="O5"/>
    </row>
    <row r="6" spans="1:18" ht="30.75" thickBot="1" x14ac:dyDescent="0.3">
      <c r="B6" s="437"/>
      <c r="C6" s="439"/>
      <c r="D6" s="441"/>
      <c r="E6" s="317" t="s">
        <v>76</v>
      </c>
      <c r="F6" s="318" t="s">
        <v>68</v>
      </c>
      <c r="G6" s="319" t="s">
        <v>184</v>
      </c>
      <c r="H6" s="320" t="s">
        <v>77</v>
      </c>
      <c r="I6" s="321" t="s">
        <v>185</v>
      </c>
      <c r="J6" s="322" t="s">
        <v>186</v>
      </c>
      <c r="K6" s="322" t="s">
        <v>211</v>
      </c>
      <c r="L6" s="294" t="s">
        <v>187</v>
      </c>
      <c r="M6"/>
      <c r="N6"/>
      <c r="O6"/>
    </row>
    <row r="7" spans="1:18" x14ac:dyDescent="0.25">
      <c r="B7" s="323" t="s">
        <v>183</v>
      </c>
      <c r="C7" s="324"/>
      <c r="D7" s="325"/>
      <c r="E7" s="326"/>
      <c r="F7" s="327"/>
      <c r="G7" s="328">
        <v>23.099999999999998</v>
      </c>
      <c r="H7" s="329"/>
      <c r="I7" s="330">
        <f>(G7-L2)/L1</f>
        <v>3.3239399988681431</v>
      </c>
      <c r="J7" s="331">
        <f>10^I7</f>
        <v>2108.3368468164585</v>
      </c>
      <c r="K7" s="332">
        <f>J7*150</f>
        <v>316250.5270224688</v>
      </c>
      <c r="L7" s="295">
        <f>J7*150/300</f>
        <v>1054.1684234082293</v>
      </c>
      <c r="M7"/>
      <c r="N7"/>
      <c r="O7"/>
    </row>
    <row r="8" spans="1:18" x14ac:dyDescent="0.25">
      <c r="B8" s="312" t="s">
        <v>206</v>
      </c>
      <c r="C8" s="310"/>
      <c r="D8" s="299"/>
      <c r="E8" s="268"/>
      <c r="F8" s="306"/>
      <c r="G8" s="333">
        <v>26.313333333333333</v>
      </c>
      <c r="H8" s="307"/>
      <c r="I8" s="300">
        <f>(G8-L2)/L1</f>
        <v>2.4341908623658837</v>
      </c>
      <c r="J8" s="305">
        <f t="shared" ref="J8:J10" si="0">10^I8</f>
        <v>271.76333433457489</v>
      </c>
      <c r="K8" s="334">
        <f t="shared" ref="K8:K10" si="1">J8*150</f>
        <v>40764.500150186235</v>
      </c>
      <c r="L8" s="295">
        <f t="shared" ref="L8:L10" si="2">J8*150/300</f>
        <v>135.88166716728745</v>
      </c>
      <c r="M8"/>
      <c r="N8"/>
      <c r="O8"/>
    </row>
    <row r="9" spans="1:18" x14ac:dyDescent="0.25">
      <c r="B9" s="312" t="s">
        <v>207</v>
      </c>
      <c r="C9" s="310"/>
      <c r="D9" s="299"/>
      <c r="E9" s="268"/>
      <c r="F9" s="306"/>
      <c r="G9" s="333">
        <v>29.666666666666668</v>
      </c>
      <c r="H9" s="307"/>
      <c r="I9" s="300">
        <f>(G9-L2)/L1</f>
        <v>1.5056767219911189</v>
      </c>
      <c r="J9" s="305">
        <f t="shared" si="0"/>
        <v>32.038835454464582</v>
      </c>
      <c r="K9" s="334">
        <f t="shared" si="1"/>
        <v>4805.8253181696873</v>
      </c>
      <c r="L9" s="295">
        <f t="shared" si="2"/>
        <v>16.019417727232291</v>
      </c>
      <c r="M9"/>
      <c r="N9"/>
      <c r="O9"/>
    </row>
    <row r="10" spans="1:18" x14ac:dyDescent="0.25">
      <c r="B10" s="312" t="s">
        <v>208</v>
      </c>
      <c r="C10" s="310"/>
      <c r="D10" s="299"/>
      <c r="E10" s="268"/>
      <c r="F10" s="306"/>
      <c r="G10" s="333">
        <v>33.93333333333333</v>
      </c>
      <c r="H10" s="307"/>
      <c r="I10" s="300">
        <f>(G10-L2)/L1</f>
        <v>0.32426708016239425</v>
      </c>
      <c r="J10" s="305">
        <f t="shared" si="0"/>
        <v>2.1099253019262698</v>
      </c>
      <c r="K10" s="334">
        <f t="shared" si="1"/>
        <v>316.48879528894048</v>
      </c>
      <c r="L10" s="295">
        <f t="shared" si="2"/>
        <v>1.0549626509631349</v>
      </c>
      <c r="M10"/>
      <c r="N10"/>
      <c r="O10"/>
    </row>
    <row r="11" spans="1:18" s="276" customFormat="1" x14ac:dyDescent="0.25">
      <c r="A11" s="276">
        <v>20221122</v>
      </c>
      <c r="B11" s="311" t="s">
        <v>201</v>
      </c>
      <c r="C11" s="335"/>
      <c r="D11" s="336"/>
      <c r="E11" s="60"/>
      <c r="F11" s="337"/>
      <c r="G11" s="308">
        <v>23.425000000000001</v>
      </c>
      <c r="H11" s="338"/>
      <c r="I11" s="221">
        <f>(G11-L2)/L1</f>
        <v>3.23394981130697</v>
      </c>
      <c r="J11" s="304">
        <f>10^I11</f>
        <v>1713.7592476424177</v>
      </c>
      <c r="K11" s="302">
        <f>J11*150</f>
        <v>257063.88714636266</v>
      </c>
      <c r="L11" s="296">
        <f>J11*150/300</f>
        <v>856.87962382120884</v>
      </c>
      <c r="M11" s="276">
        <f>K11/5</f>
        <v>51412.77742927253</v>
      </c>
    </row>
    <row r="12" spans="1:18" x14ac:dyDescent="0.25">
      <c r="A12" s="276">
        <v>20221122</v>
      </c>
      <c r="B12" s="311" t="s">
        <v>200</v>
      </c>
      <c r="C12" s="335"/>
      <c r="D12" s="336"/>
      <c r="E12" s="60"/>
      <c r="F12" s="337"/>
      <c r="G12" s="308">
        <v>25.14</v>
      </c>
      <c r="H12" s="227"/>
      <c r="I12" s="221">
        <f>(G12-L2)/L1</f>
        <v>2.7590785138687828</v>
      </c>
      <c r="J12" s="304">
        <f>10^I12</f>
        <v>574.22026315632093</v>
      </c>
      <c r="K12" s="302">
        <f t="shared" ref="K12:K16" si="3">J12*150</f>
        <v>86133.039473448138</v>
      </c>
      <c r="L12" s="295">
        <f>J12*150/300</f>
        <v>287.11013157816046</v>
      </c>
      <c r="M12" s="276">
        <f t="shared" ref="M12:M16" si="4">K12/5</f>
        <v>17226.607894689627</v>
      </c>
      <c r="N12"/>
      <c r="O12"/>
    </row>
    <row r="13" spans="1:18" s="276" customFormat="1" x14ac:dyDescent="0.25">
      <c r="A13" s="276">
        <v>20221122</v>
      </c>
      <c r="B13" s="311" t="s">
        <v>202</v>
      </c>
      <c r="C13" s="335"/>
      <c r="D13" s="336"/>
      <c r="E13" s="60"/>
      <c r="F13" s="337"/>
      <c r="G13" s="308">
        <v>26.63</v>
      </c>
      <c r="H13" s="227"/>
      <c r="I13" s="221">
        <f>(G13-L2)/L1</f>
        <v>2.346508115511408</v>
      </c>
      <c r="J13" s="304">
        <f>10^I13</f>
        <v>222.07931822603516</v>
      </c>
      <c r="K13" s="302">
        <f t="shared" si="3"/>
        <v>33311.897733905273</v>
      </c>
      <c r="L13" s="296">
        <f>J13*150/300</f>
        <v>111.03965911301758</v>
      </c>
      <c r="M13" s="276">
        <f t="shared" si="4"/>
        <v>6662.3795467810542</v>
      </c>
    </row>
    <row r="14" spans="1:18" s="292" customFormat="1" x14ac:dyDescent="0.25">
      <c r="A14" s="276">
        <v>20221122</v>
      </c>
      <c r="B14" s="311" t="s">
        <v>203</v>
      </c>
      <c r="C14" s="335"/>
      <c r="D14" s="336"/>
      <c r="E14" s="60"/>
      <c r="F14" s="337"/>
      <c r="G14" s="308">
        <v>24.12</v>
      </c>
      <c r="H14" s="227"/>
      <c r="I14" s="221">
        <f>(G14-L2)/L1</f>
        <v>3.0415092563684625</v>
      </c>
      <c r="J14" s="304">
        <f t="shared" ref="J14:J16" si="5">10^I14</f>
        <v>1100.2952962732834</v>
      </c>
      <c r="K14" s="302">
        <f t="shared" si="3"/>
        <v>165044.2944409925</v>
      </c>
      <c r="L14" s="297">
        <f t="shared" ref="L14:L16" si="6">J14*150/300</f>
        <v>550.14764813664169</v>
      </c>
      <c r="M14" s="276">
        <f t="shared" si="4"/>
        <v>33008.858888198498</v>
      </c>
    </row>
    <row r="15" spans="1:18" s="276" customFormat="1" x14ac:dyDescent="0.25">
      <c r="A15" s="276">
        <v>20221122</v>
      </c>
      <c r="B15" s="311" t="s">
        <v>204</v>
      </c>
      <c r="C15" s="335"/>
      <c r="D15" s="336"/>
      <c r="E15" s="60"/>
      <c r="F15" s="337"/>
      <c r="G15" s="308">
        <v>27.585000000000001</v>
      </c>
      <c r="H15" s="227"/>
      <c r="I15" s="221">
        <f>(G15-L2)/L1</f>
        <v>2.0820754105239621</v>
      </c>
      <c r="J15" s="304">
        <f t="shared" si="5"/>
        <v>120.80235770816316</v>
      </c>
      <c r="K15" s="302">
        <f t="shared" si="3"/>
        <v>18120.353656224474</v>
      </c>
      <c r="L15" s="296">
        <f t="shared" si="6"/>
        <v>60.401178854081579</v>
      </c>
      <c r="M15" s="276">
        <f t="shared" si="4"/>
        <v>3624.0707312448949</v>
      </c>
    </row>
    <row r="16" spans="1:18" s="292" customFormat="1" ht="15.75" thickBot="1" x14ac:dyDescent="0.3">
      <c r="A16" s="276">
        <v>20221122</v>
      </c>
      <c r="B16" s="339" t="s">
        <v>205</v>
      </c>
      <c r="C16" s="335"/>
      <c r="D16" s="336"/>
      <c r="E16" s="60"/>
      <c r="F16" s="337"/>
      <c r="G16" s="340">
        <v>29.44</v>
      </c>
      <c r="H16" s="227"/>
      <c r="I16" s="221">
        <f>(G16-L2)/L1</f>
        <v>1.5684391092132699</v>
      </c>
      <c r="J16" s="341">
        <f t="shared" si="5"/>
        <v>37.020229709738047</v>
      </c>
      <c r="K16" s="303">
        <f t="shared" si="3"/>
        <v>5553.0344564607067</v>
      </c>
      <c r="L16" s="297">
        <f t="shared" si="6"/>
        <v>18.510114854869023</v>
      </c>
      <c r="M16" s="276">
        <f t="shared" si="4"/>
        <v>1110.6068912921414</v>
      </c>
    </row>
    <row r="36" spans="12:12" x14ac:dyDescent="0.25">
      <c r="L36" s="41" t="e">
        <f>'I-Leg Count'!R7=#REF!*150/300</f>
        <v>#REF!</v>
      </c>
    </row>
  </sheetData>
  <mergeCells count="5">
    <mergeCell ref="P1:R3"/>
    <mergeCell ref="E2:F2"/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E8" sqref="E8"/>
    </sheetView>
  </sheetViews>
  <sheetFormatPr defaultRowHeight="15" x14ac:dyDescent="0.25"/>
  <cols>
    <col min="1" max="1" width="4.140625" style="6" customWidth="1"/>
    <col min="2" max="2" width="13.42578125" customWidth="1"/>
    <col min="3" max="4" width="13.85546875" customWidth="1"/>
    <col min="5" max="5" width="24.28515625" customWidth="1"/>
    <col min="6" max="6" width="22.5703125" customWidth="1"/>
    <col min="7" max="7" width="12.28515625" customWidth="1"/>
    <col min="8" max="9" width="10.140625" customWidth="1"/>
    <col min="10" max="10" width="17.28515625" customWidth="1"/>
  </cols>
  <sheetData>
    <row r="1" spans="1:10" ht="45.6" customHeight="1" x14ac:dyDescent="0.25">
      <c r="B1" s="11" t="s">
        <v>17</v>
      </c>
      <c r="C1" s="11" t="s">
        <v>18</v>
      </c>
      <c r="D1" s="11" t="s">
        <v>16</v>
      </c>
      <c r="E1" s="8" t="s">
        <v>21</v>
      </c>
      <c r="F1" s="8" t="s">
        <v>22</v>
      </c>
      <c r="G1" s="9" t="s">
        <v>0</v>
      </c>
      <c r="H1" s="12" t="s">
        <v>1</v>
      </c>
      <c r="I1" s="9" t="s">
        <v>2</v>
      </c>
      <c r="J1" s="7" t="s">
        <v>19</v>
      </c>
    </row>
    <row r="2" spans="1:10" x14ac:dyDescent="0.25">
      <c r="A2" s="6">
        <v>1</v>
      </c>
      <c r="B2" s="13">
        <v>44838</v>
      </c>
      <c r="C2" s="13">
        <v>44838</v>
      </c>
      <c r="D2" s="10"/>
      <c r="E2" s="4" t="s">
        <v>27</v>
      </c>
      <c r="F2" s="4" t="s">
        <v>25</v>
      </c>
      <c r="G2" s="1" t="s">
        <v>3</v>
      </c>
      <c r="H2" s="2" t="s">
        <v>4</v>
      </c>
      <c r="I2" s="3" t="s">
        <v>5</v>
      </c>
      <c r="J2" s="442" t="s">
        <v>20</v>
      </c>
    </row>
    <row r="3" spans="1:10" x14ac:dyDescent="0.25">
      <c r="A3" s="6">
        <v>2</v>
      </c>
      <c r="B3" s="13">
        <v>44838</v>
      </c>
      <c r="C3" s="13">
        <v>44838</v>
      </c>
      <c r="D3" s="10"/>
      <c r="E3" s="4" t="s">
        <v>28</v>
      </c>
      <c r="F3" s="4" t="s">
        <v>26</v>
      </c>
      <c r="G3" s="1" t="s">
        <v>6</v>
      </c>
      <c r="H3" s="2" t="s">
        <v>4</v>
      </c>
      <c r="I3" s="3" t="s">
        <v>5</v>
      </c>
      <c r="J3" s="442"/>
    </row>
    <row r="4" spans="1:10" x14ac:dyDescent="0.25">
      <c r="A4" s="6">
        <v>3</v>
      </c>
      <c r="B4" s="13">
        <v>44838</v>
      </c>
      <c r="C4" s="13">
        <v>44838</v>
      </c>
      <c r="D4" s="10"/>
      <c r="E4" s="5" t="s">
        <v>7</v>
      </c>
      <c r="F4" s="4" t="s">
        <v>26</v>
      </c>
      <c r="G4" s="1" t="s">
        <v>8</v>
      </c>
      <c r="H4" s="2" t="s">
        <v>4</v>
      </c>
      <c r="I4" s="3" t="s">
        <v>5</v>
      </c>
      <c r="J4" s="442"/>
    </row>
    <row r="5" spans="1:10" x14ac:dyDescent="0.25">
      <c r="A5" s="6">
        <v>4</v>
      </c>
      <c r="B5" s="13">
        <v>44838</v>
      </c>
      <c r="C5" s="13">
        <v>44838</v>
      </c>
      <c r="D5" s="10"/>
      <c r="E5" s="5" t="s">
        <v>9</v>
      </c>
      <c r="F5" s="5" t="s">
        <v>23</v>
      </c>
      <c r="G5" s="1" t="s">
        <v>10</v>
      </c>
      <c r="H5" s="2" t="s">
        <v>4</v>
      </c>
      <c r="I5" s="3" t="s">
        <v>5</v>
      </c>
      <c r="J5" s="442"/>
    </row>
    <row r="6" spans="1:10" x14ac:dyDescent="0.25">
      <c r="A6" s="6">
        <v>5</v>
      </c>
      <c r="B6" s="13">
        <v>44838</v>
      </c>
      <c r="C6" s="13">
        <v>44838</v>
      </c>
      <c r="D6" s="10"/>
      <c r="E6" s="5" t="s">
        <v>11</v>
      </c>
      <c r="F6" s="4" t="s">
        <v>24</v>
      </c>
      <c r="G6" s="1" t="s">
        <v>12</v>
      </c>
      <c r="H6" s="2" t="s">
        <v>4</v>
      </c>
      <c r="I6" s="2" t="s">
        <v>4</v>
      </c>
      <c r="J6" s="442"/>
    </row>
    <row r="7" spans="1:10" x14ac:dyDescent="0.25">
      <c r="A7" s="6">
        <v>6</v>
      </c>
      <c r="B7" s="13">
        <v>44838</v>
      </c>
      <c r="C7" s="13">
        <v>44838</v>
      </c>
      <c r="D7" s="10"/>
      <c r="E7" s="5" t="s">
        <v>29</v>
      </c>
      <c r="F7" s="5" t="s">
        <v>24</v>
      </c>
      <c r="G7" s="1" t="s">
        <v>13</v>
      </c>
      <c r="H7" s="2" t="s">
        <v>4</v>
      </c>
      <c r="I7" s="2" t="s">
        <v>4</v>
      </c>
      <c r="J7" s="442"/>
    </row>
    <row r="8" spans="1:10" x14ac:dyDescent="0.25">
      <c r="A8" s="6">
        <v>7</v>
      </c>
      <c r="B8" s="13">
        <v>44838</v>
      </c>
      <c r="C8" s="13">
        <v>44838</v>
      </c>
      <c r="D8" s="10"/>
      <c r="E8" s="5" t="s">
        <v>14</v>
      </c>
      <c r="F8" s="5" t="s">
        <v>24</v>
      </c>
      <c r="G8" s="1" t="s">
        <v>15</v>
      </c>
      <c r="H8" s="2" t="s">
        <v>4</v>
      </c>
      <c r="I8" s="2" t="s">
        <v>4</v>
      </c>
      <c r="J8" s="442"/>
    </row>
    <row r="28" spans="7:9" x14ac:dyDescent="0.25">
      <c r="G28">
        <v>22</v>
      </c>
      <c r="H28" t="s">
        <v>213</v>
      </c>
      <c r="I28">
        <v>1</v>
      </c>
    </row>
    <row r="29" spans="7:9" x14ac:dyDescent="0.25">
      <c r="G29">
        <v>22</v>
      </c>
      <c r="H29" t="s">
        <v>214</v>
      </c>
      <c r="I29">
        <v>1</v>
      </c>
    </row>
  </sheetData>
  <mergeCells count="1">
    <mergeCell ref="J2:J8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C16" sqref="C16"/>
    </sheetView>
  </sheetViews>
  <sheetFormatPr defaultRowHeight="15" x14ac:dyDescent="0.25"/>
  <cols>
    <col min="1" max="1" width="61" bestFit="1" customWidth="1"/>
    <col min="2" max="7" width="18" customWidth="1"/>
  </cols>
  <sheetData>
    <row r="1" spans="1:7" ht="15.75" thickBot="1" x14ac:dyDescent="0.3">
      <c r="A1" s="15"/>
      <c r="B1" s="443" t="s">
        <v>30</v>
      </c>
      <c r="C1" s="444"/>
      <c r="D1" s="445"/>
      <c r="E1" s="446" t="s">
        <v>30</v>
      </c>
      <c r="F1" s="447"/>
      <c r="G1" s="448"/>
    </row>
    <row r="2" spans="1:7" ht="15.75" thickBot="1" x14ac:dyDescent="0.3">
      <c r="A2" s="16"/>
      <c r="B2" s="17" t="s">
        <v>31</v>
      </c>
      <c r="C2" s="449" t="s">
        <v>32</v>
      </c>
      <c r="D2" s="450"/>
      <c r="E2" s="18" t="s">
        <v>33</v>
      </c>
      <c r="F2" s="449" t="s">
        <v>32</v>
      </c>
      <c r="G2" s="450"/>
    </row>
    <row r="3" spans="1:7" ht="16.899999999999999" customHeight="1" x14ac:dyDescent="0.25">
      <c r="A3" s="451" t="s">
        <v>34</v>
      </c>
      <c r="B3" s="19" t="s">
        <v>35</v>
      </c>
      <c r="C3" s="25" t="s">
        <v>37</v>
      </c>
      <c r="D3" s="25" t="s">
        <v>37</v>
      </c>
      <c r="E3" s="21" t="s">
        <v>35</v>
      </c>
      <c r="F3" s="25" t="s">
        <v>37</v>
      </c>
      <c r="G3" s="25" t="s">
        <v>37</v>
      </c>
    </row>
    <row r="4" spans="1:7" ht="14.45" customHeight="1" thickBot="1" x14ac:dyDescent="0.3">
      <c r="A4" s="452"/>
      <c r="B4" s="20" t="s">
        <v>36</v>
      </c>
      <c r="C4" s="26" t="s">
        <v>38</v>
      </c>
      <c r="D4" s="26" t="s">
        <v>39</v>
      </c>
      <c r="E4" s="22" t="s">
        <v>36</v>
      </c>
      <c r="F4" s="26" t="s">
        <v>38</v>
      </c>
      <c r="G4" s="26" t="s">
        <v>39</v>
      </c>
    </row>
    <row r="5" spans="1:7" ht="15.75" thickBot="1" x14ac:dyDescent="0.3">
      <c r="A5" s="16" t="s">
        <v>40</v>
      </c>
      <c r="B5" s="23">
        <v>3</v>
      </c>
      <c r="C5" s="27"/>
      <c r="D5" s="27"/>
      <c r="E5" s="24">
        <v>3</v>
      </c>
      <c r="F5" s="27" t="s">
        <v>41</v>
      </c>
      <c r="G5" s="27" t="s">
        <v>41</v>
      </c>
    </row>
    <row r="6" spans="1:7" ht="15.75" thickBot="1" x14ac:dyDescent="0.3">
      <c r="A6" s="16" t="s">
        <v>42</v>
      </c>
      <c r="B6" s="23">
        <v>2</v>
      </c>
      <c r="C6" s="27"/>
      <c r="D6" s="27"/>
      <c r="E6" s="24">
        <v>3</v>
      </c>
      <c r="F6" s="27">
        <v>2.86</v>
      </c>
      <c r="G6" s="27">
        <v>0.37</v>
      </c>
    </row>
    <row r="7" spans="1:7" ht="15.75" thickBot="1" x14ac:dyDescent="0.3">
      <c r="A7" s="16" t="s">
        <v>43</v>
      </c>
      <c r="B7" s="23">
        <v>3</v>
      </c>
      <c r="C7" s="27"/>
      <c r="D7" s="27"/>
      <c r="E7" s="24">
        <v>1</v>
      </c>
      <c r="F7" s="27">
        <v>0.47</v>
      </c>
      <c r="G7" s="27">
        <v>0.71</v>
      </c>
    </row>
    <row r="8" spans="1:7" ht="15.75" thickBot="1" x14ac:dyDescent="0.3">
      <c r="A8" s="16" t="s">
        <v>44</v>
      </c>
      <c r="B8" s="23">
        <v>3</v>
      </c>
      <c r="C8" s="27"/>
      <c r="D8" s="27"/>
      <c r="E8" s="24" t="s">
        <v>45</v>
      </c>
      <c r="F8" s="27">
        <v>0.32</v>
      </c>
      <c r="G8" s="27" t="s">
        <v>41</v>
      </c>
    </row>
    <row r="9" spans="1:7" ht="15.75" thickBot="1" x14ac:dyDescent="0.3">
      <c r="A9" s="16" t="s">
        <v>46</v>
      </c>
      <c r="B9" s="23">
        <v>2</v>
      </c>
      <c r="C9" s="27"/>
      <c r="D9" s="27"/>
      <c r="E9" s="24" t="s">
        <v>45</v>
      </c>
      <c r="F9" s="27">
        <v>0.26</v>
      </c>
      <c r="G9" s="27">
        <v>0.4</v>
      </c>
    </row>
    <row r="10" spans="1:7" ht="15.75" thickBot="1" x14ac:dyDescent="0.3">
      <c r="A10" s="16" t="s">
        <v>47</v>
      </c>
      <c r="B10" s="23">
        <v>2</v>
      </c>
      <c r="C10" s="27"/>
      <c r="D10" s="27"/>
      <c r="E10" s="24" t="s">
        <v>45</v>
      </c>
      <c r="F10" s="27">
        <v>1.33</v>
      </c>
      <c r="G10" s="27">
        <v>0.05</v>
      </c>
    </row>
    <row r="11" spans="1:7" ht="15.75" thickBot="1" x14ac:dyDescent="0.3">
      <c r="A11" s="16" t="s">
        <v>48</v>
      </c>
      <c r="B11" s="23">
        <v>2</v>
      </c>
      <c r="C11" s="27"/>
      <c r="D11" s="27"/>
      <c r="E11" s="24" t="s">
        <v>45</v>
      </c>
      <c r="F11" s="27" t="s">
        <v>41</v>
      </c>
      <c r="G11" s="27" t="s">
        <v>41</v>
      </c>
    </row>
    <row r="12" spans="1:7" ht="15.75" thickBot="1" x14ac:dyDescent="0.3">
      <c r="A12" s="16" t="s">
        <v>49</v>
      </c>
      <c r="B12" s="23" t="s">
        <v>50</v>
      </c>
      <c r="C12" s="27"/>
      <c r="D12" s="27"/>
      <c r="E12" s="24" t="s">
        <v>45</v>
      </c>
      <c r="F12" s="27">
        <v>0.31</v>
      </c>
      <c r="G12" s="27">
        <v>0.24</v>
      </c>
    </row>
    <row r="13" spans="1:7" ht="15.75" thickBot="1" x14ac:dyDescent="0.3">
      <c r="A13" s="16" t="s">
        <v>51</v>
      </c>
      <c r="B13" s="23">
        <v>2</v>
      </c>
      <c r="C13" s="27"/>
      <c r="D13" s="27"/>
      <c r="E13" s="24" t="s">
        <v>45</v>
      </c>
      <c r="F13" s="27">
        <v>0.44</v>
      </c>
      <c r="G13" s="27">
        <v>0.89</v>
      </c>
    </row>
    <row r="14" spans="1:7" ht="15.75" thickBot="1" x14ac:dyDescent="0.3">
      <c r="A14" s="16" t="s">
        <v>52</v>
      </c>
      <c r="B14" s="23">
        <v>2</v>
      </c>
      <c r="C14" s="27"/>
      <c r="D14" s="27"/>
      <c r="E14" s="24" t="s">
        <v>45</v>
      </c>
      <c r="F14" s="27">
        <v>0.84</v>
      </c>
      <c r="G14" s="27">
        <v>0.61</v>
      </c>
    </row>
    <row r="15" spans="1:7" ht="15.75" thickBot="1" x14ac:dyDescent="0.3">
      <c r="A15" s="16" t="s">
        <v>53</v>
      </c>
      <c r="B15" s="23">
        <v>3</v>
      </c>
      <c r="C15" s="27"/>
      <c r="D15" s="27"/>
      <c r="E15" s="24">
        <v>1</v>
      </c>
      <c r="F15" s="27">
        <v>1.07</v>
      </c>
      <c r="G15" s="27">
        <v>0.26</v>
      </c>
    </row>
    <row r="16" spans="1:7" ht="15.75" thickBot="1" x14ac:dyDescent="0.3">
      <c r="A16" s="16" t="s">
        <v>54</v>
      </c>
      <c r="B16" s="23">
        <v>2</v>
      </c>
      <c r="C16" s="27"/>
      <c r="D16" s="27"/>
      <c r="E16" s="24">
        <v>2</v>
      </c>
      <c r="F16" s="27">
        <v>1.0900000000000001</v>
      </c>
      <c r="G16" s="27" t="s">
        <v>41</v>
      </c>
    </row>
    <row r="17" spans="1:7" ht="15.75" thickBot="1" x14ac:dyDescent="0.3">
      <c r="A17" s="16" t="s">
        <v>55</v>
      </c>
      <c r="B17" s="23">
        <v>2</v>
      </c>
      <c r="C17" s="27"/>
      <c r="D17" s="27"/>
      <c r="E17" s="24" t="s">
        <v>45</v>
      </c>
      <c r="F17" s="27">
        <v>1.03</v>
      </c>
      <c r="G17" s="27" t="s">
        <v>41</v>
      </c>
    </row>
    <row r="18" spans="1:7" ht="15.75" thickBot="1" x14ac:dyDescent="0.3">
      <c r="A18" s="16" t="s">
        <v>56</v>
      </c>
      <c r="B18" s="23">
        <v>2</v>
      </c>
      <c r="C18" s="27"/>
      <c r="D18" s="27"/>
      <c r="E18" s="24">
        <v>4</v>
      </c>
      <c r="F18" s="27" t="s">
        <v>57</v>
      </c>
      <c r="G18" s="27" t="s">
        <v>57</v>
      </c>
    </row>
    <row r="19" spans="1:7" ht="15.75" thickBot="1" x14ac:dyDescent="0.3">
      <c r="A19" s="16" t="s">
        <v>58</v>
      </c>
      <c r="B19" s="23">
        <v>3</v>
      </c>
      <c r="C19" s="27"/>
      <c r="D19" s="27"/>
      <c r="E19" s="24">
        <v>5</v>
      </c>
      <c r="F19" s="27">
        <v>6.47</v>
      </c>
      <c r="G19" s="27">
        <v>0.42</v>
      </c>
    </row>
    <row r="20" spans="1:7" ht="15.75" thickBot="1" x14ac:dyDescent="0.3">
      <c r="A20" s="16" t="s">
        <v>59</v>
      </c>
      <c r="B20" s="23">
        <v>2</v>
      </c>
      <c r="C20" s="27"/>
      <c r="D20" s="27"/>
      <c r="E20" s="24" t="s">
        <v>50</v>
      </c>
      <c r="F20" s="27">
        <v>14.14</v>
      </c>
      <c r="G20" s="27">
        <v>0.09</v>
      </c>
    </row>
    <row r="21" spans="1:7" ht="15.75" thickBot="1" x14ac:dyDescent="0.3">
      <c r="A21" s="16" t="s">
        <v>60</v>
      </c>
      <c r="B21" s="23" t="s">
        <v>50</v>
      </c>
      <c r="C21" s="27"/>
      <c r="D21" s="27"/>
      <c r="E21" s="24" t="s">
        <v>57</v>
      </c>
      <c r="F21" s="27">
        <v>7.25</v>
      </c>
      <c r="G21" s="27">
        <v>3.44</v>
      </c>
    </row>
    <row r="22" spans="1:7" ht="15.75" thickBot="1" x14ac:dyDescent="0.3">
      <c r="A22" s="16" t="s">
        <v>61</v>
      </c>
      <c r="B22" s="23" t="s">
        <v>50</v>
      </c>
      <c r="C22" s="27"/>
      <c r="D22" s="27"/>
      <c r="E22" s="24" t="s">
        <v>50</v>
      </c>
      <c r="F22" s="27">
        <v>0.08</v>
      </c>
      <c r="G22" s="27">
        <v>0.56999999999999995</v>
      </c>
    </row>
    <row r="23" spans="1:7" ht="15.75" thickBot="1" x14ac:dyDescent="0.3">
      <c r="A23" s="16" t="s">
        <v>62</v>
      </c>
      <c r="B23" s="23" t="s">
        <v>50</v>
      </c>
      <c r="C23" s="27"/>
      <c r="D23" s="27"/>
      <c r="E23" s="24" t="s">
        <v>50</v>
      </c>
      <c r="F23" s="27" t="s">
        <v>57</v>
      </c>
      <c r="G23" s="27" t="s">
        <v>57</v>
      </c>
    </row>
    <row r="24" spans="1:7" ht="15.75" thickBot="1" x14ac:dyDescent="0.3">
      <c r="A24" s="16" t="s">
        <v>63</v>
      </c>
      <c r="B24" s="23" t="s">
        <v>50</v>
      </c>
      <c r="C24" s="27"/>
      <c r="D24" s="27"/>
      <c r="E24" s="24" t="s">
        <v>57</v>
      </c>
      <c r="F24" s="27" t="s">
        <v>57</v>
      </c>
      <c r="G24" s="27" t="s">
        <v>57</v>
      </c>
    </row>
    <row r="25" spans="1:7" ht="15.75" thickBot="1" x14ac:dyDescent="0.3">
      <c r="A25" s="16"/>
      <c r="B25" s="23"/>
      <c r="C25" s="27"/>
      <c r="D25" s="27"/>
      <c r="E25" s="24"/>
      <c r="F25" s="28"/>
      <c r="G25" s="29"/>
    </row>
    <row r="26" spans="1:7" ht="15.75" thickBot="1" x14ac:dyDescent="0.3">
      <c r="A26" s="16" t="s">
        <v>67</v>
      </c>
      <c r="B26" s="23" t="s">
        <v>57</v>
      </c>
      <c r="C26" s="27">
        <v>10.19</v>
      </c>
      <c r="D26" s="27">
        <v>4.72</v>
      </c>
      <c r="E26" s="24"/>
      <c r="F26" s="28"/>
      <c r="G26" s="29"/>
    </row>
    <row r="27" spans="1:7" ht="15.75" thickBot="1" x14ac:dyDescent="0.3">
      <c r="A27" s="16" t="s">
        <v>64</v>
      </c>
      <c r="B27" s="23"/>
      <c r="C27" s="27">
        <v>2.93</v>
      </c>
      <c r="D27" s="27">
        <v>4.87</v>
      </c>
      <c r="E27" s="24"/>
      <c r="F27" s="28"/>
      <c r="G27" s="29"/>
    </row>
    <row r="28" spans="1:7" ht="15.75" thickBot="1" x14ac:dyDescent="0.3">
      <c r="A28" s="16" t="s">
        <v>65</v>
      </c>
      <c r="B28" s="23"/>
      <c r="C28" s="27">
        <v>9.48</v>
      </c>
      <c r="D28" s="27">
        <v>242.04</v>
      </c>
      <c r="E28" s="24"/>
      <c r="F28" s="28"/>
      <c r="G28" s="29"/>
    </row>
    <row r="29" spans="1:7" ht="15.75" thickBot="1" x14ac:dyDescent="0.3">
      <c r="A29" s="16" t="s">
        <v>66</v>
      </c>
      <c r="B29" s="23"/>
      <c r="C29" s="27">
        <v>1.32</v>
      </c>
      <c r="D29" s="27">
        <v>2.66</v>
      </c>
      <c r="E29" s="24"/>
      <c r="F29" s="29"/>
      <c r="G29" s="29"/>
    </row>
  </sheetData>
  <mergeCells count="5">
    <mergeCell ref="B1:D1"/>
    <mergeCell ref="E1:G1"/>
    <mergeCell ref="C2:D2"/>
    <mergeCell ref="F2:G2"/>
    <mergeCell ref="A3:A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Leg-Stds</vt:lpstr>
      <vt:lpstr>I-Leg Count</vt:lpstr>
      <vt:lpstr>R-Leg Count</vt:lpstr>
      <vt:lpstr>Ec 078 Stds</vt:lpstr>
      <vt:lpstr>Ec Count</vt:lpstr>
      <vt:lpstr>Sample list</vt:lpstr>
      <vt:lpstr>19Oct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2023-03-06T10:28:29Z</dcterms:modified>
</cp:coreProperties>
</file>