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1B8388D-9E6E-4398-8176-98CD32135961}" xr6:coauthVersionLast="47" xr6:coauthVersionMax="47" xr10:uidLastSave="{00000000-0000-0000-0000-000000000000}"/>
  <bookViews>
    <workbookView xWindow="-3870" yWindow="-16320" windowWidth="29040" windowHeight="15840" activeTab="1" xr2:uid="{00000000-000D-0000-FFFF-FFFF00000000}"/>
  </bookViews>
  <sheets>
    <sheet name="Matrix Samples" sheetId="1" r:id="rId1"/>
    <sheet name="Matrix Samples (2)" sheetId="6" r:id="rId2"/>
    <sheet name="Others" sheetId="2" r:id="rId3"/>
    <sheet name="PCR VS Culture " sheetId="3" r:id="rId4"/>
    <sheet name="PCR VS Culture  (2)" sheetId="5" r:id="rId5"/>
    <sheet name="Sheet1" sheetId="4" r:id="rId6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6" l="1"/>
  <c r="R33" i="6"/>
  <c r="R30" i="6"/>
  <c r="G30" i="6"/>
  <c r="G32" i="6"/>
  <c r="G31" i="6"/>
  <c r="R6" i="6"/>
  <c r="R9" i="6"/>
  <c r="T9" i="6" s="1"/>
  <c r="U9" i="6" s="1"/>
  <c r="R7" i="6"/>
  <c r="M12" i="6"/>
  <c r="N12" i="6" s="1"/>
  <c r="N11" i="6"/>
  <c r="L12" i="6"/>
  <c r="O13" i="6"/>
  <c r="O11" i="6"/>
  <c r="D16" i="6"/>
  <c r="C19" i="6"/>
  <c r="C18" i="6"/>
  <c r="C16" i="6"/>
  <c r="C17" i="6"/>
  <c r="D17" i="6"/>
  <c r="D18" i="6"/>
  <c r="D20" i="6"/>
  <c r="D19" i="6"/>
  <c r="C20" i="6"/>
  <c r="M6" i="6"/>
  <c r="N6" i="6" s="1"/>
  <c r="O6" i="6" s="1"/>
  <c r="H37" i="6"/>
  <c r="G37" i="6"/>
  <c r="L37" i="6" s="1"/>
  <c r="G36" i="6"/>
  <c r="M36" i="6" s="1"/>
  <c r="G35" i="6"/>
  <c r="M35" i="6" s="1"/>
  <c r="G34" i="6"/>
  <c r="M34" i="6" s="1"/>
  <c r="G33" i="6"/>
  <c r="M33" i="6" s="1"/>
  <c r="M32" i="6"/>
  <c r="M31" i="6"/>
  <c r="M30" i="6"/>
  <c r="H13" i="6"/>
  <c r="G13" i="6"/>
  <c r="M13" i="6" s="1"/>
  <c r="G12" i="6"/>
  <c r="G11" i="6"/>
  <c r="L11" i="6" s="1"/>
  <c r="G10" i="6"/>
  <c r="M10" i="6" s="1"/>
  <c r="G9" i="6"/>
  <c r="L9" i="6" s="1"/>
  <c r="G8" i="6"/>
  <c r="L8" i="6" s="1"/>
  <c r="G7" i="6"/>
  <c r="M7" i="6" s="1"/>
  <c r="G6" i="6"/>
  <c r="E6" i="6"/>
  <c r="L6" i="6" s="1"/>
  <c r="I6" i="5"/>
  <c r="I5" i="3"/>
  <c r="I7" i="5"/>
  <c r="E20" i="6" l="1"/>
  <c r="F20" i="6" s="1"/>
  <c r="E16" i="6"/>
  <c r="F16" i="6" s="1"/>
  <c r="E18" i="6"/>
  <c r="F18" i="6" s="1"/>
  <c r="E19" i="6"/>
  <c r="F19" i="6" s="1"/>
  <c r="E17" i="6"/>
  <c r="F17" i="6" s="1"/>
  <c r="S9" i="6"/>
  <c r="S33" i="6"/>
  <c r="L13" i="6"/>
  <c r="N13" i="6" s="1"/>
  <c r="L10" i="6"/>
  <c r="N10" i="6" s="1"/>
  <c r="O10" i="6" s="1"/>
  <c r="S7" i="6"/>
  <c r="S30" i="6"/>
  <c r="L30" i="6"/>
  <c r="N30" i="6" s="1"/>
  <c r="O30" i="6" s="1"/>
  <c r="S31" i="6"/>
  <c r="S6" i="6"/>
  <c r="M9" i="6"/>
  <c r="N9" i="6" s="1"/>
  <c r="O9" i="6" s="1"/>
  <c r="L33" i="6"/>
  <c r="N33" i="6" s="1"/>
  <c r="O33" i="6" s="1"/>
  <c r="L36" i="6"/>
  <c r="N36" i="6" s="1"/>
  <c r="O36" i="6" s="1"/>
  <c r="M37" i="6"/>
  <c r="N37" i="6" s="1"/>
  <c r="O37" i="6" s="1"/>
  <c r="L35" i="6"/>
  <c r="N35" i="6" s="1"/>
  <c r="O35" i="6" s="1"/>
  <c r="M11" i="6"/>
  <c r="L34" i="6"/>
  <c r="N34" i="6" s="1"/>
  <c r="O34" i="6" s="1"/>
  <c r="L32" i="6"/>
  <c r="N32" i="6" s="1"/>
  <c r="O32" i="6" s="1"/>
  <c r="M8" i="6"/>
  <c r="N8" i="6" s="1"/>
  <c r="O8" i="6" s="1"/>
  <c r="L7" i="6"/>
  <c r="N7" i="6" s="1"/>
  <c r="O7" i="6" s="1"/>
  <c r="L31" i="6"/>
  <c r="N31" i="6" s="1"/>
  <c r="O31" i="6" s="1"/>
  <c r="H17" i="1"/>
  <c r="H31" i="1"/>
  <c r="T33" i="6" l="1"/>
  <c r="U33" i="6" s="1"/>
  <c r="T7" i="6"/>
  <c r="U7" i="6" s="1"/>
  <c r="T30" i="6"/>
  <c r="U30" i="6" s="1"/>
  <c r="O12" i="6"/>
  <c r="T6" i="6"/>
  <c r="U6" i="6" s="1"/>
  <c r="T31" i="6"/>
  <c r="U31" i="6" s="1"/>
  <c r="I26" i="5"/>
  <c r="I24" i="5"/>
  <c r="I23" i="5"/>
  <c r="I25" i="5"/>
  <c r="I27" i="5"/>
  <c r="I28" i="5"/>
  <c r="I29" i="5"/>
  <c r="I5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C29" i="5"/>
  <c r="C28" i="5"/>
  <c r="E25" i="5"/>
  <c r="C25" i="5"/>
  <c r="E24" i="5"/>
  <c r="D24" i="5"/>
  <c r="C24" i="5"/>
  <c r="E23" i="5"/>
  <c r="D23" i="5"/>
  <c r="C23" i="5"/>
  <c r="I28" i="3" l="1"/>
  <c r="I27" i="3"/>
  <c r="I24" i="3"/>
  <c r="I23" i="3"/>
  <c r="I25" i="3"/>
  <c r="I22" i="3"/>
  <c r="I20" i="3"/>
  <c r="I8" i="3"/>
  <c r="I7" i="3"/>
  <c r="I6" i="3"/>
  <c r="I9" i="3"/>
  <c r="I10" i="3"/>
  <c r="I11" i="3"/>
  <c r="I12" i="3"/>
  <c r="I13" i="3"/>
  <c r="I14" i="3"/>
  <c r="I15" i="3"/>
  <c r="I16" i="3"/>
  <c r="I17" i="3"/>
  <c r="I18" i="3"/>
  <c r="I19" i="3"/>
  <c r="I4" i="3"/>
  <c r="D23" i="3"/>
  <c r="D22" i="3"/>
  <c r="E24" i="3"/>
  <c r="E23" i="3"/>
  <c r="E22" i="3"/>
  <c r="C28" i="3"/>
  <c r="C27" i="3"/>
  <c r="C24" i="3"/>
  <c r="C23" i="3"/>
  <c r="C22" i="3"/>
  <c r="E12" i="2" l="1"/>
  <c r="E11" i="2"/>
  <c r="D12" i="2"/>
  <c r="D11" i="2"/>
  <c r="C11" i="2"/>
  <c r="C12" i="2"/>
  <c r="I42" i="1"/>
  <c r="H42" i="1"/>
  <c r="I31" i="1"/>
  <c r="I17" i="1"/>
  <c r="D5" i="2"/>
  <c r="D4" i="2"/>
  <c r="H5" i="1" l="1"/>
  <c r="D62" i="1"/>
  <c r="C62" i="1"/>
  <c r="F62" i="1"/>
  <c r="E62" i="1"/>
  <c r="C61" i="1"/>
  <c r="E61" i="1"/>
  <c r="C60" i="1"/>
  <c r="E60" i="1"/>
  <c r="C59" i="1"/>
  <c r="E59" i="1"/>
  <c r="C58" i="1"/>
  <c r="E58" i="1"/>
  <c r="C57" i="1"/>
  <c r="E57" i="1"/>
  <c r="C56" i="1"/>
  <c r="E56" i="1"/>
  <c r="C55" i="1"/>
  <c r="E55" i="1"/>
  <c r="C29" i="1"/>
  <c r="I5" i="1" l="1"/>
</calcChain>
</file>

<file path=xl/sharedStrings.xml><?xml version="1.0" encoding="utf-8"?>
<sst xmlns="http://schemas.openxmlformats.org/spreadsheetml/2006/main" count="587" uniqueCount="94">
  <si>
    <t>E lysis</t>
  </si>
  <si>
    <t>FAM</t>
  </si>
  <si>
    <t>HEX</t>
  </si>
  <si>
    <t>Volume (mL)</t>
  </si>
  <si>
    <t>Position</t>
  </si>
  <si>
    <t>Run 1</t>
  </si>
  <si>
    <t xml:space="preserve">Rep 1  (ct) </t>
  </si>
  <si>
    <t xml:space="preserve">Rep 2 (ct) </t>
  </si>
  <si>
    <t>300mL</t>
  </si>
  <si>
    <t xml:space="preserve">1/6 Cup </t>
  </si>
  <si>
    <t xml:space="preserve">2/6 Cup </t>
  </si>
  <si>
    <t xml:space="preserve">3/6 Cup </t>
  </si>
  <si>
    <t xml:space="preserve">4/6 Cup </t>
  </si>
  <si>
    <t xml:space="preserve">5/6 Cup </t>
  </si>
  <si>
    <t xml:space="preserve">6/6 Cup </t>
  </si>
  <si>
    <t>Single Funnel</t>
  </si>
  <si>
    <t>50mL</t>
  </si>
  <si>
    <t>50mL Falcon Tube</t>
  </si>
  <si>
    <t>Matrix Sample</t>
  </si>
  <si>
    <t xml:space="preserve">Run 1 
Rep 1  (ct) </t>
  </si>
  <si>
    <t xml:space="preserve">Run 1 
Rep 2 (ct) </t>
  </si>
  <si>
    <t xml:space="preserve">50mL Falcon </t>
  </si>
  <si>
    <t>x</t>
  </si>
  <si>
    <t>300ml - 4/7 is better than 50ml</t>
  </si>
  <si>
    <t>NA</t>
  </si>
  <si>
    <t>300ml - 6/7 is better than 50ml</t>
  </si>
  <si>
    <t>-</t>
  </si>
  <si>
    <t xml:space="preserve">20221122 - Lvl 7 F Tap ONLY HEX </t>
  </si>
  <si>
    <t>Selected Data</t>
  </si>
  <si>
    <t>20221202 - Yan Sample (BEVERAGE COUNTER (ICE DISPENSER))</t>
  </si>
  <si>
    <t>TEX</t>
  </si>
  <si>
    <t xml:space="preserve">Run 1 
 (ct) </t>
  </si>
  <si>
    <t>Run 1 
(ct)</t>
  </si>
  <si>
    <t>300ml - 3/7 is better than 50ml</t>
  </si>
  <si>
    <t>EQUIPMENT STORE</t>
  </si>
  <si>
    <t>PROD WASH AREA-1</t>
  </si>
  <si>
    <t>PROD WASH AREA-2</t>
  </si>
  <si>
    <t>PROD WASH AREA-3</t>
  </si>
  <si>
    <t>MAIN KITCHEN COUNTER-1</t>
  </si>
  <si>
    <t>MAIN KITCHEN COUNTER-2</t>
  </si>
  <si>
    <t>MAIN KITCHEN STOVE-1</t>
  </si>
  <si>
    <t>MAIN KITCHEN STOVE-2</t>
  </si>
  <si>
    <t>PASTRY AREA-1</t>
  </si>
  <si>
    <t>PASTRY AREA-2</t>
  </si>
  <si>
    <t>MAIN KITCHEN NEAR CHILLER-1</t>
  </si>
  <si>
    <t>MAIN KITCHEN NEAR CHILLER-2</t>
  </si>
  <si>
    <t>MAIN KITCHEN POINT</t>
  </si>
  <si>
    <t>MICRO KITCHEN SINK</t>
  </si>
  <si>
    <t>MOTHER CARE ROOM</t>
  </si>
  <si>
    <t>BEVERAGE COUNTER (ICE DISPENSER)</t>
  </si>
  <si>
    <t>SHOWER MALE</t>
  </si>
  <si>
    <t>Sample Name</t>
  </si>
  <si>
    <t>Ct value
All Legionella</t>
  </si>
  <si>
    <t>Ct value 
Sg 1</t>
  </si>
  <si>
    <t>Texas Red</t>
  </si>
  <si>
    <t>N/A</t>
  </si>
  <si>
    <t>Eurofins DATA</t>
  </si>
  <si>
    <t>All Legionella
cfu/ml</t>
  </si>
  <si>
    <t>Sg 1
cfu/ml</t>
  </si>
  <si>
    <t>&lt;0.01</t>
  </si>
  <si>
    <t>&lt;1</t>
  </si>
  <si>
    <t>GIS PCR DATA</t>
  </si>
  <si>
    <t>GIS Calculated DATA</t>
  </si>
  <si>
    <t xml:space="preserve">No. </t>
  </si>
  <si>
    <t>All Legionella
copies/ml</t>
  </si>
  <si>
    <t>Sg 1
copies/ml</t>
  </si>
  <si>
    <r>
      <rPr>
        <b/>
        <sz val="11"/>
        <color rgb="FFFF0000"/>
        <rFont val="Arial"/>
        <family val="2"/>
      </rPr>
      <t>Sg 2-15</t>
    </r>
    <r>
      <rPr>
        <b/>
        <sz val="11"/>
        <color theme="1"/>
        <rFont val="Arial"/>
        <family val="2"/>
      </rPr>
      <t xml:space="preserve">
cfu/ml</t>
    </r>
  </si>
  <si>
    <r>
      <rPr>
        <b/>
        <sz val="11"/>
        <color rgb="FFFF0000"/>
        <rFont val="Arial"/>
        <family val="2"/>
      </rPr>
      <t>Sg 1-15</t>
    </r>
    <r>
      <rPr>
        <b/>
        <sz val="11"/>
        <color theme="1"/>
        <rFont val="Arial"/>
        <family val="2"/>
      </rPr>
      <t xml:space="preserve">
copies/ml</t>
    </r>
  </si>
  <si>
    <r>
      <t xml:space="preserve">Ct value
 </t>
    </r>
    <r>
      <rPr>
        <b/>
        <sz val="11"/>
        <color rgb="FFFF0000"/>
        <rFont val="Arial"/>
        <family val="2"/>
      </rPr>
      <t>Sg 1-15</t>
    </r>
  </si>
  <si>
    <t>L8 TapWater (Female) - GS 001</t>
  </si>
  <si>
    <t>L7 Shower (Female) - GS 002</t>
  </si>
  <si>
    <t>Matrix - GS 003</t>
  </si>
  <si>
    <t>Koi Pond - GS 004</t>
  </si>
  <si>
    <t>NC (MiliQ) - GS 005</t>
  </si>
  <si>
    <t>Water dispenser L7 (new) - GS 006</t>
  </si>
  <si>
    <t>Spiked in E.coli in NC(MiliQ) - GS 007</t>
  </si>
  <si>
    <t>&lt;0.4</t>
  </si>
  <si>
    <r>
      <rPr>
        <b/>
        <sz val="11"/>
        <color rgb="FFFF0000"/>
        <rFont val="Arial"/>
        <family val="2"/>
      </rPr>
      <t>Sg 2-15</t>
    </r>
    <r>
      <rPr>
        <b/>
        <sz val="11"/>
        <color theme="1"/>
        <rFont val="Arial"/>
        <family val="2"/>
      </rPr>
      <t xml:space="preserve">
copies/ml</t>
    </r>
  </si>
  <si>
    <t>No.</t>
  </si>
  <si>
    <t>Standard D.</t>
  </si>
  <si>
    <t>RSD</t>
  </si>
  <si>
    <t>RSD %</t>
  </si>
  <si>
    <t>Average ct</t>
  </si>
  <si>
    <t>Target: mipT1 - FAM</t>
  </si>
  <si>
    <t>Target: 16S -  HEX</t>
  </si>
  <si>
    <t xml:space="preserve">Only Single Funnel </t>
  </si>
  <si>
    <t>Average</t>
  </si>
  <si>
    <t>6-Funnel</t>
  </si>
  <si>
    <t xml:space="preserve">Exp 1 </t>
  </si>
  <si>
    <t>Exp 2</t>
  </si>
  <si>
    <t>Exp 3</t>
  </si>
  <si>
    <t>Exp 4</t>
  </si>
  <si>
    <t>Exp 5</t>
  </si>
  <si>
    <t xml:space="preserve">Standrd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</si>
</sst>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8466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8466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lightDown"/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" fontId="0" fillId="0" borderId="0" xfId="0" applyNumberFormat="1"/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2" fontId="11" fillId="5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13" fillId="5" borderId="11" xfId="0" applyNumberFormat="1" applyFont="1" applyFill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/>
    </xf>
    <xf numFmtId="2" fontId="3" fillId="10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2" fontId="11" fillId="10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5" xfId="0" applyBorder="1"/>
    <xf numFmtId="0" fontId="8" fillId="0" borderId="16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12" borderId="11" xfId="0" applyFont="1" applyFill="1" applyBorder="1" applyAlignment="1">
      <alignment horizontal="center" vertical="center" wrapText="1"/>
    </xf>
    <xf numFmtId="2" fontId="15" fillId="11" borderId="11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2" fontId="15" fillId="11" borderId="11" xfId="0" applyNumberFormat="1" applyFont="1" applyFill="1" applyBorder="1" applyAlignment="1">
      <alignment horizontal="center" vertical="center" wrapText="1"/>
    </xf>
    <xf numFmtId="2" fontId="15" fillId="13" borderId="11" xfId="0" applyNumberFormat="1" applyFont="1" applyFill="1" applyBorder="1" applyAlignment="1">
      <alignment horizontal="center" vertical="center"/>
    </xf>
    <xf numFmtId="2" fontId="15" fillId="13" borderId="11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6" fillId="0" borderId="11" xfId="0" applyNumberFormat="1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/>
    </xf>
    <xf numFmtId="2" fontId="19" fillId="0" borderId="11" xfId="0" applyNumberFormat="1" applyFont="1" applyBorder="1" applyAlignment="1">
      <alignment horizontal="center" vertical="center"/>
    </xf>
    <xf numFmtId="0" fontId="16" fillId="14" borderId="11" xfId="0" applyFont="1" applyFill="1" applyBorder="1" applyAlignment="1">
      <alignment horizontal="center"/>
    </xf>
    <xf numFmtId="0" fontId="0" fillId="14" borderId="0" xfId="0" applyFill="1"/>
    <xf numFmtId="2" fontId="15" fillId="15" borderId="11" xfId="0" applyNumberFormat="1" applyFont="1" applyFill="1" applyBorder="1" applyAlignment="1">
      <alignment horizontal="center" vertical="center" wrapText="1"/>
    </xf>
    <xf numFmtId="2" fontId="15" fillId="15" borderId="11" xfId="0" applyNumberFormat="1" applyFont="1" applyFill="1" applyBorder="1" applyAlignment="1">
      <alignment horizontal="center" vertical="center"/>
    </xf>
    <xf numFmtId="0" fontId="16" fillId="15" borderId="11" xfId="0" applyFont="1" applyFill="1" applyBorder="1" applyAlignment="1">
      <alignment horizontal="center"/>
    </xf>
    <xf numFmtId="2" fontId="0" fillId="15" borderId="11" xfId="0" applyNumberFormat="1" applyFill="1" applyBorder="1" applyAlignment="1">
      <alignment horizontal="center"/>
    </xf>
    <xf numFmtId="1" fontId="0" fillId="16" borderId="11" xfId="0" applyNumberFormat="1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2" fontId="16" fillId="11" borderId="11" xfId="0" applyNumberFormat="1" applyFont="1" applyFill="1" applyBorder="1" applyAlignment="1">
      <alignment horizontal="center"/>
    </xf>
    <xf numFmtId="2" fontId="0" fillId="17" borderId="11" xfId="0" applyNumberFormat="1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16" fillId="11" borderId="11" xfId="0" applyNumberFormat="1" applyFont="1" applyFill="1" applyBorder="1" applyAlignment="1">
      <alignment horizontal="center" vertical="center"/>
    </xf>
    <xf numFmtId="0" fontId="0" fillId="17" borderId="11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15" fillId="11" borderId="9" xfId="0" applyNumberFormat="1" applyFont="1" applyFill="1" applyBorder="1" applyAlignment="1">
      <alignment horizontal="center" vertical="center" wrapText="1"/>
    </xf>
    <xf numFmtId="2" fontId="15" fillId="11" borderId="9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5" fillId="12" borderId="20" xfId="0" applyFont="1" applyFill="1" applyBorder="1" applyAlignment="1">
      <alignment horizontal="center" vertical="center" wrapText="1"/>
    </xf>
    <xf numFmtId="2" fontId="15" fillId="11" borderId="21" xfId="0" applyNumberFormat="1" applyFont="1" applyFill="1" applyBorder="1" applyAlignment="1">
      <alignment horizontal="center" vertical="center" wrapText="1"/>
    </xf>
    <xf numFmtId="2" fontId="15" fillId="11" borderId="21" xfId="0" applyNumberFormat="1" applyFon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0" fontId="0" fillId="11" borderId="21" xfId="0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17" borderId="23" xfId="0" applyNumberFormat="1" applyFill="1" applyBorder="1" applyAlignment="1">
      <alignment horizontal="center"/>
    </xf>
    <xf numFmtId="2" fontId="0" fillId="15" borderId="23" xfId="0" applyNumberFormat="1" applyFill="1" applyBorder="1" applyAlignment="1">
      <alignment horizontal="center"/>
    </xf>
    <xf numFmtId="0" fontId="0" fillId="17" borderId="23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15" fillId="1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2" fontId="16" fillId="11" borderId="21" xfId="0" applyNumberFormat="1" applyFont="1" applyFill="1" applyBorder="1" applyAlignment="1">
      <alignment horizontal="center"/>
    </xf>
    <xf numFmtId="2" fontId="16" fillId="11" borderId="2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9" borderId="11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0" fillId="18" borderId="11" xfId="0" applyFont="1" applyFill="1" applyBorder="1" applyAlignment="1">
      <alignment horizontal="center" vertical="center" wrapText="1"/>
    </xf>
    <xf numFmtId="2" fontId="3" fillId="18" borderId="11" xfId="0" applyNumberFormat="1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2" fontId="11" fillId="18" borderId="11" xfId="0" applyNumberFormat="1" applyFont="1" applyFill="1" applyBorder="1" applyAlignment="1">
      <alignment horizontal="center" vertical="center"/>
    </xf>
    <xf numFmtId="0" fontId="11" fillId="18" borderId="11" xfId="0" applyFont="1" applyFill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opLeftCell="A49" zoomScale="107" zoomScaleNormal="110" workbookViewId="0">
      <selection activeCell="A52" sqref="A52"/>
    </sheetView>
  </sheetViews>
  <sheetFormatPr defaultRowHeight="15" x14ac:dyDescent="0.25"/>
  <cols>
    <col min="1" max="1" width="14" customWidth="1"/>
  </cols>
  <sheetData>
    <row r="1" spans="1:9" ht="15.75" thickBot="1" x14ac:dyDescent="0.3">
      <c r="A1" s="9">
        <v>20221128</v>
      </c>
      <c r="B1" t="s">
        <v>18</v>
      </c>
      <c r="F1" s="42" t="s">
        <v>28</v>
      </c>
    </row>
    <row r="2" spans="1:9" ht="15.75" thickBot="1" x14ac:dyDescent="0.3">
      <c r="A2" s="130" t="s">
        <v>0</v>
      </c>
      <c r="B2" s="131"/>
      <c r="C2" s="10" t="s">
        <v>1</v>
      </c>
      <c r="D2" s="11" t="s">
        <v>2</v>
      </c>
      <c r="F2" s="130" t="s">
        <v>0</v>
      </c>
      <c r="G2" s="131"/>
      <c r="H2" s="10" t="s">
        <v>1</v>
      </c>
      <c r="I2" s="11" t="s">
        <v>2</v>
      </c>
    </row>
    <row r="3" spans="1:9" x14ac:dyDescent="0.25">
      <c r="A3" s="117" t="s">
        <v>3</v>
      </c>
      <c r="B3" s="119" t="s">
        <v>4</v>
      </c>
      <c r="C3" s="1" t="s">
        <v>5</v>
      </c>
      <c r="D3" s="3" t="s">
        <v>5</v>
      </c>
      <c r="F3" s="117" t="s">
        <v>3</v>
      </c>
      <c r="G3" s="119" t="s">
        <v>4</v>
      </c>
      <c r="H3" s="1" t="s">
        <v>5</v>
      </c>
      <c r="I3" s="3" t="s">
        <v>5</v>
      </c>
    </row>
    <row r="4" spans="1:9" ht="15.75" thickBot="1" x14ac:dyDescent="0.3">
      <c r="A4" s="118"/>
      <c r="B4" s="120"/>
      <c r="C4" s="2" t="s">
        <v>6</v>
      </c>
      <c r="D4" s="4" t="s">
        <v>6</v>
      </c>
      <c r="F4" s="118"/>
      <c r="G4" s="120"/>
      <c r="H4" s="2" t="s">
        <v>6</v>
      </c>
      <c r="I4" s="4" t="s">
        <v>6</v>
      </c>
    </row>
    <row r="5" spans="1:9" ht="15.75" thickBot="1" x14ac:dyDescent="0.3">
      <c r="A5" s="121" t="s">
        <v>8</v>
      </c>
      <c r="B5" s="5" t="s">
        <v>9</v>
      </c>
      <c r="C5" s="5">
        <v>30.47</v>
      </c>
      <c r="D5" s="5">
        <v>27.73</v>
      </c>
      <c r="F5" s="13" t="s">
        <v>8</v>
      </c>
      <c r="G5" s="5"/>
      <c r="H5" s="41">
        <f>AVERAGE(C6,C7,C9)</f>
        <v>32.676666666666669</v>
      </c>
      <c r="I5" s="5">
        <f>AVERAGE(D6,D7,D9)</f>
        <v>29.98</v>
      </c>
    </row>
    <row r="6" spans="1:9" ht="39" thickBot="1" x14ac:dyDescent="0.3">
      <c r="A6" s="122"/>
      <c r="B6" s="5" t="s">
        <v>10</v>
      </c>
      <c r="C6" s="12">
        <v>32.94</v>
      </c>
      <c r="D6" s="12">
        <v>30.25</v>
      </c>
      <c r="F6" s="6" t="s">
        <v>16</v>
      </c>
      <c r="G6" s="7" t="s">
        <v>17</v>
      </c>
      <c r="H6" s="8">
        <v>30.09</v>
      </c>
      <c r="I6" s="8">
        <v>28.26</v>
      </c>
    </row>
    <row r="7" spans="1:9" ht="15.75" thickBot="1" x14ac:dyDescent="0.3">
      <c r="A7" s="122"/>
      <c r="B7" s="5" t="s">
        <v>11</v>
      </c>
      <c r="C7" s="12">
        <v>32.94</v>
      </c>
      <c r="D7" s="12">
        <v>30.62</v>
      </c>
    </row>
    <row r="8" spans="1:9" ht="15.75" thickBot="1" x14ac:dyDescent="0.3">
      <c r="A8" s="122"/>
      <c r="B8" s="5" t="s">
        <v>12</v>
      </c>
      <c r="C8" s="5">
        <v>31.91</v>
      </c>
      <c r="D8" s="5">
        <v>29.06</v>
      </c>
    </row>
    <row r="9" spans="1:9" ht="15.75" thickBot="1" x14ac:dyDescent="0.3">
      <c r="A9" s="122"/>
      <c r="B9" s="5" t="s">
        <v>13</v>
      </c>
      <c r="C9" s="12">
        <v>32.15</v>
      </c>
      <c r="D9" s="12">
        <v>29.07</v>
      </c>
    </row>
    <row r="10" spans="1:9" ht="15.75" thickBot="1" x14ac:dyDescent="0.3">
      <c r="A10" s="122"/>
      <c r="B10" s="5" t="s">
        <v>14</v>
      </c>
      <c r="C10" s="5">
        <v>31.99</v>
      </c>
      <c r="D10" s="5">
        <v>29.19</v>
      </c>
    </row>
    <row r="11" spans="1:9" ht="15.75" thickBot="1" x14ac:dyDescent="0.3">
      <c r="A11" s="123"/>
      <c r="B11" s="5" t="s">
        <v>15</v>
      </c>
      <c r="C11" s="5">
        <v>31.21</v>
      </c>
      <c r="D11" s="5">
        <v>28.17</v>
      </c>
    </row>
    <row r="12" spans="1:9" ht="39" thickBot="1" x14ac:dyDescent="0.3">
      <c r="A12" s="6" t="s">
        <v>16</v>
      </c>
      <c r="B12" s="7" t="s">
        <v>17</v>
      </c>
      <c r="C12" s="8">
        <v>30.09</v>
      </c>
      <c r="D12" s="8">
        <v>28.26</v>
      </c>
    </row>
    <row r="13" spans="1:9" ht="15.75" thickBot="1" x14ac:dyDescent="0.3"/>
    <row r="14" spans="1:9" ht="15.75" thickBot="1" x14ac:dyDescent="0.3">
      <c r="A14" s="130" t="s">
        <v>0</v>
      </c>
      <c r="B14" s="131"/>
      <c r="C14" s="10" t="s">
        <v>1</v>
      </c>
      <c r="D14" s="11" t="s">
        <v>2</v>
      </c>
      <c r="F14" s="130" t="s">
        <v>0</v>
      </c>
      <c r="G14" s="131"/>
      <c r="H14" s="10" t="s">
        <v>1</v>
      </c>
      <c r="I14" s="11" t="s">
        <v>2</v>
      </c>
    </row>
    <row r="15" spans="1:9" x14ac:dyDescent="0.25">
      <c r="A15" s="117" t="s">
        <v>3</v>
      </c>
      <c r="B15" s="119" t="s">
        <v>4</v>
      </c>
      <c r="C15" s="1" t="s">
        <v>5</v>
      </c>
      <c r="D15" s="3" t="s">
        <v>5</v>
      </c>
      <c r="F15" s="117" t="s">
        <v>3</v>
      </c>
      <c r="G15" s="119" t="s">
        <v>4</v>
      </c>
      <c r="H15" s="1" t="s">
        <v>5</v>
      </c>
      <c r="I15" s="3" t="s">
        <v>5</v>
      </c>
    </row>
    <row r="16" spans="1:9" ht="15.75" thickBot="1" x14ac:dyDescent="0.3">
      <c r="A16" s="118"/>
      <c r="B16" s="120"/>
      <c r="C16" s="2" t="s">
        <v>7</v>
      </c>
      <c r="D16" s="4" t="s">
        <v>7</v>
      </c>
      <c r="F16" s="118"/>
      <c r="G16" s="120"/>
      <c r="H16" s="2" t="s">
        <v>6</v>
      </c>
      <c r="I16" s="4" t="s">
        <v>6</v>
      </c>
    </row>
    <row r="17" spans="1:11" ht="15.75" thickBot="1" x14ac:dyDescent="0.3">
      <c r="A17" s="121" t="s">
        <v>8</v>
      </c>
      <c r="B17" s="5" t="s">
        <v>9</v>
      </c>
      <c r="C17" s="5">
        <v>31.46</v>
      </c>
      <c r="D17" s="5">
        <v>28.53</v>
      </c>
      <c r="F17" s="13" t="s">
        <v>8</v>
      </c>
      <c r="G17" s="5"/>
      <c r="H17" s="5">
        <f>AVERAGE(C18,C21)</f>
        <v>32.655000000000001</v>
      </c>
      <c r="I17" s="5">
        <f>AVERAGE(D18,D21)</f>
        <v>30.085000000000001</v>
      </c>
    </row>
    <row r="18" spans="1:11" ht="39" thickBot="1" x14ac:dyDescent="0.3">
      <c r="A18" s="122"/>
      <c r="B18" s="5" t="s">
        <v>10</v>
      </c>
      <c r="C18" s="12">
        <v>32.979999999999997</v>
      </c>
      <c r="D18" s="12">
        <v>30.34</v>
      </c>
      <c r="F18" s="6" t="s">
        <v>16</v>
      </c>
      <c r="G18" s="7" t="s">
        <v>17</v>
      </c>
      <c r="H18" s="8">
        <v>30.28</v>
      </c>
      <c r="I18" s="8">
        <v>28.65</v>
      </c>
    </row>
    <row r="19" spans="1:11" ht="15.75" thickBot="1" x14ac:dyDescent="0.3">
      <c r="A19" s="122"/>
      <c r="B19" s="5" t="s">
        <v>11</v>
      </c>
      <c r="C19" s="5">
        <v>34.04</v>
      </c>
      <c r="D19" s="5">
        <v>31.87</v>
      </c>
    </row>
    <row r="20" spans="1:11" ht="15.75" thickBot="1" x14ac:dyDescent="0.3">
      <c r="A20" s="122"/>
      <c r="B20" s="5" t="s">
        <v>12</v>
      </c>
      <c r="C20" s="5">
        <v>34.880000000000003</v>
      </c>
      <c r="D20" s="5">
        <v>32.380000000000003</v>
      </c>
    </row>
    <row r="21" spans="1:11" ht="15.75" thickBot="1" x14ac:dyDescent="0.3">
      <c r="A21" s="122"/>
      <c r="B21" s="5" t="s">
        <v>13</v>
      </c>
      <c r="C21" s="12">
        <v>32.33</v>
      </c>
      <c r="D21" s="12">
        <v>29.83</v>
      </c>
    </row>
    <row r="22" spans="1:11" ht="15.75" thickBot="1" x14ac:dyDescent="0.3">
      <c r="A22" s="122"/>
      <c r="B22" s="5" t="s">
        <v>14</v>
      </c>
      <c r="C22" s="5">
        <v>30.88</v>
      </c>
      <c r="D22" s="5">
        <v>27.97</v>
      </c>
    </row>
    <row r="23" spans="1:11" ht="15.75" thickBot="1" x14ac:dyDescent="0.3">
      <c r="A23" s="123"/>
      <c r="B23" s="5" t="s">
        <v>15</v>
      </c>
      <c r="C23" s="5">
        <v>30.91</v>
      </c>
      <c r="D23" s="5">
        <v>28.16</v>
      </c>
    </row>
    <row r="24" spans="1:11" ht="39" thickBot="1" x14ac:dyDescent="0.3">
      <c r="A24" s="6" t="s">
        <v>16</v>
      </c>
      <c r="B24" s="7" t="s">
        <v>17</v>
      </c>
      <c r="C24" s="8">
        <v>30.28</v>
      </c>
      <c r="D24" s="8">
        <v>28.65</v>
      </c>
    </row>
    <row r="25" spans="1:1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>
        <v>20221213</v>
      </c>
    </row>
    <row r="27" spans="1:11" ht="15.75" thickBot="1" x14ac:dyDescent="0.3">
      <c r="A27" s="128" t="s">
        <v>0</v>
      </c>
      <c r="B27" s="129"/>
      <c r="C27" s="24" t="s">
        <v>1</v>
      </c>
      <c r="D27" s="25" t="s">
        <v>2</v>
      </c>
      <c r="G27" s="56"/>
    </row>
    <row r="28" spans="1:11" ht="26.25" thickBot="1" x14ac:dyDescent="0.3">
      <c r="A28" s="14" t="s">
        <v>3</v>
      </c>
      <c r="B28" s="15" t="s">
        <v>4</v>
      </c>
      <c r="C28" s="16" t="s">
        <v>19</v>
      </c>
      <c r="D28" s="17" t="s">
        <v>19</v>
      </c>
      <c r="F28" s="130" t="s">
        <v>0</v>
      </c>
      <c r="G28" s="131"/>
      <c r="H28" s="10" t="s">
        <v>1</v>
      </c>
      <c r="I28" s="11" t="s">
        <v>2</v>
      </c>
    </row>
    <row r="29" spans="1:11" x14ac:dyDescent="0.25">
      <c r="A29" s="125" t="s">
        <v>8</v>
      </c>
      <c r="B29" s="18" t="s">
        <v>9</v>
      </c>
      <c r="C29" s="27">
        <f>AVERAGE(35.62,35.39)</f>
        <v>35.504999999999995</v>
      </c>
      <c r="D29" s="23">
        <v>34.270000000000003</v>
      </c>
      <c r="F29" s="117" t="s">
        <v>3</v>
      </c>
      <c r="G29" s="119" t="s">
        <v>4</v>
      </c>
      <c r="H29" s="1" t="s">
        <v>5</v>
      </c>
      <c r="I29" s="3" t="s">
        <v>5</v>
      </c>
    </row>
    <row r="30" spans="1:11" ht="15.75" thickBot="1" x14ac:dyDescent="0.3">
      <c r="A30" s="126"/>
      <c r="B30" s="18" t="s">
        <v>10</v>
      </c>
      <c r="C30" s="26">
        <v>30.72</v>
      </c>
      <c r="D30" s="20">
        <v>28.78</v>
      </c>
      <c r="F30" s="118"/>
      <c r="G30" s="120"/>
      <c r="H30" s="2" t="s">
        <v>6</v>
      </c>
      <c r="I30" s="4" t="s">
        <v>6</v>
      </c>
    </row>
    <row r="31" spans="1:11" ht="15.75" thickBot="1" x14ac:dyDescent="0.3">
      <c r="A31" s="126"/>
      <c r="B31" s="18" t="s">
        <v>11</v>
      </c>
      <c r="C31" s="26">
        <v>29.24</v>
      </c>
      <c r="D31" s="20">
        <v>27.21</v>
      </c>
      <c r="F31" s="13" t="s">
        <v>8</v>
      </c>
      <c r="G31" s="5"/>
      <c r="H31" s="45">
        <f>AVERAGE(C29,C35)</f>
        <v>35.457499999999996</v>
      </c>
      <c r="I31" s="45">
        <f>AVERAGE(D29,D35)</f>
        <v>33.765000000000001</v>
      </c>
    </row>
    <row r="32" spans="1:11" ht="39" thickBot="1" x14ac:dyDescent="0.3">
      <c r="A32" s="126"/>
      <c r="B32" s="18" t="s">
        <v>12</v>
      </c>
      <c r="C32" s="26">
        <v>30.36</v>
      </c>
      <c r="D32" s="20">
        <v>27.88</v>
      </c>
      <c r="F32" s="6" t="s">
        <v>16</v>
      </c>
      <c r="G32" s="44" t="s">
        <v>17</v>
      </c>
      <c r="H32" s="46">
        <v>31.36</v>
      </c>
      <c r="I32" s="47">
        <v>30.11</v>
      </c>
    </row>
    <row r="33" spans="1:9" x14ac:dyDescent="0.25">
      <c r="A33" s="126"/>
      <c r="B33" s="18" t="s">
        <v>13</v>
      </c>
      <c r="C33" s="28">
        <v>34.869999999999997</v>
      </c>
      <c r="D33" s="20">
        <v>34.86</v>
      </c>
    </row>
    <row r="34" spans="1:9" x14ac:dyDescent="0.25">
      <c r="A34" s="126"/>
      <c r="B34" s="18" t="s">
        <v>14</v>
      </c>
      <c r="C34" s="28">
        <v>32.76</v>
      </c>
      <c r="D34" s="20">
        <v>31.2</v>
      </c>
    </row>
    <row r="35" spans="1:9" x14ac:dyDescent="0.25">
      <c r="A35" s="127"/>
      <c r="B35" s="18" t="s">
        <v>15</v>
      </c>
      <c r="C35" s="27">
        <v>35.409999999999997</v>
      </c>
      <c r="D35" s="23">
        <v>33.26</v>
      </c>
    </row>
    <row r="36" spans="1:9" ht="25.5" x14ac:dyDescent="0.25">
      <c r="A36" s="18" t="s">
        <v>16</v>
      </c>
      <c r="B36" s="21" t="s">
        <v>21</v>
      </c>
      <c r="C36" s="19">
        <v>31.36</v>
      </c>
      <c r="D36" s="20">
        <v>30.11</v>
      </c>
    </row>
    <row r="37" spans="1:9" x14ac:dyDescent="0.25">
      <c r="A37" s="42" t="s">
        <v>33</v>
      </c>
    </row>
    <row r="38" spans="1:9" ht="15.75" thickBot="1" x14ac:dyDescent="0.3">
      <c r="A38" s="42"/>
    </row>
    <row r="39" spans="1:9" ht="15.75" thickBot="1" x14ac:dyDescent="0.3">
      <c r="A39" s="128" t="s">
        <v>0</v>
      </c>
      <c r="B39" s="129"/>
      <c r="C39" s="24" t="s">
        <v>1</v>
      </c>
      <c r="D39" s="25" t="s">
        <v>2</v>
      </c>
      <c r="F39" s="130" t="s">
        <v>0</v>
      </c>
      <c r="G39" s="131"/>
      <c r="H39" s="10" t="s">
        <v>1</v>
      </c>
      <c r="I39" s="11" t="s">
        <v>2</v>
      </c>
    </row>
    <row r="40" spans="1:9" ht="25.5" x14ac:dyDescent="0.25">
      <c r="A40" s="14" t="s">
        <v>3</v>
      </c>
      <c r="B40" s="15" t="s">
        <v>4</v>
      </c>
      <c r="C40" s="16" t="s">
        <v>20</v>
      </c>
      <c r="D40" s="17" t="s">
        <v>20</v>
      </c>
      <c r="E40" t="s">
        <v>22</v>
      </c>
      <c r="F40" s="117" t="s">
        <v>3</v>
      </c>
      <c r="G40" s="119" t="s">
        <v>4</v>
      </c>
      <c r="H40" s="1" t="s">
        <v>5</v>
      </c>
      <c r="I40" s="3" t="s">
        <v>5</v>
      </c>
    </row>
    <row r="41" spans="1:9" ht="15.75" thickBot="1" x14ac:dyDescent="0.3">
      <c r="A41" s="125" t="s">
        <v>8</v>
      </c>
      <c r="B41" s="18" t="s">
        <v>9</v>
      </c>
      <c r="C41" s="27">
        <v>35.4</v>
      </c>
      <c r="D41" s="23">
        <v>34.01</v>
      </c>
      <c r="F41" s="118"/>
      <c r="G41" s="120"/>
      <c r="H41" s="2" t="s">
        <v>6</v>
      </c>
      <c r="I41" s="4" t="s">
        <v>6</v>
      </c>
    </row>
    <row r="42" spans="1:9" ht="15.75" thickBot="1" x14ac:dyDescent="0.3">
      <c r="A42" s="126"/>
      <c r="B42" s="18" t="s">
        <v>10</v>
      </c>
      <c r="C42" s="28">
        <v>34.28</v>
      </c>
      <c r="D42" s="20">
        <v>32.22</v>
      </c>
      <c r="F42" s="13" t="s">
        <v>8</v>
      </c>
      <c r="G42" s="48"/>
      <c r="H42" s="49">
        <f>AVERAGE(C41,C47)</f>
        <v>35.204999999999998</v>
      </c>
      <c r="I42" s="50">
        <f>AVERAGE(D41,D47)</f>
        <v>32.335000000000001</v>
      </c>
    </row>
    <row r="43" spans="1:9" ht="39" thickBot="1" x14ac:dyDescent="0.3">
      <c r="A43" s="126"/>
      <c r="B43" s="18" t="s">
        <v>11</v>
      </c>
      <c r="C43" s="26">
        <v>30.32</v>
      </c>
      <c r="D43" s="20">
        <v>27.54</v>
      </c>
      <c r="F43" s="6" t="s">
        <v>16</v>
      </c>
      <c r="G43" s="44" t="s">
        <v>17</v>
      </c>
      <c r="H43" s="52">
        <v>32</v>
      </c>
      <c r="I43" s="51">
        <v>30.45</v>
      </c>
    </row>
    <row r="44" spans="1:9" x14ac:dyDescent="0.25">
      <c r="A44" s="126"/>
      <c r="B44" s="18" t="s">
        <v>12</v>
      </c>
      <c r="C44" s="26">
        <v>29.8</v>
      </c>
      <c r="D44" s="20">
        <v>27.37</v>
      </c>
    </row>
    <row r="45" spans="1:9" x14ac:dyDescent="0.25">
      <c r="A45" s="126"/>
      <c r="B45" s="18" t="s">
        <v>13</v>
      </c>
      <c r="C45" s="26">
        <v>31.22</v>
      </c>
      <c r="D45" s="20">
        <v>28.8</v>
      </c>
    </row>
    <row r="46" spans="1:9" x14ac:dyDescent="0.25">
      <c r="A46" s="126"/>
      <c r="B46" s="18" t="s">
        <v>14</v>
      </c>
      <c r="C46" s="26">
        <v>29.81</v>
      </c>
      <c r="D46" s="20">
        <v>27.66</v>
      </c>
    </row>
    <row r="47" spans="1:9" x14ac:dyDescent="0.25">
      <c r="A47" s="127"/>
      <c r="B47" s="18" t="s">
        <v>15</v>
      </c>
      <c r="C47" s="27">
        <v>35.01</v>
      </c>
      <c r="D47" s="23">
        <v>30.66</v>
      </c>
    </row>
    <row r="48" spans="1:9" ht="25.5" x14ac:dyDescent="0.25">
      <c r="A48" s="18" t="s">
        <v>16</v>
      </c>
      <c r="B48" s="21" t="s">
        <v>21</v>
      </c>
      <c r="C48" s="19">
        <v>32</v>
      </c>
      <c r="D48" s="20">
        <v>30.45</v>
      </c>
    </row>
    <row r="49" spans="1:11" x14ac:dyDescent="0.25">
      <c r="A49" s="42" t="s">
        <v>23</v>
      </c>
    </row>
    <row r="51" spans="1:1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 spans="1:11" x14ac:dyDescent="0.25">
      <c r="A52">
        <v>20221214</v>
      </c>
    </row>
    <row r="53" spans="1:11" x14ac:dyDescent="0.25">
      <c r="A53" s="128" t="s">
        <v>0</v>
      </c>
      <c r="B53" s="129"/>
      <c r="C53" s="134" t="s">
        <v>1</v>
      </c>
      <c r="D53" s="135"/>
      <c r="E53" s="132" t="s">
        <v>2</v>
      </c>
      <c r="F53" s="133"/>
    </row>
    <row r="54" spans="1:11" ht="25.5" x14ac:dyDescent="0.25">
      <c r="A54" s="29" t="s">
        <v>3</v>
      </c>
      <c r="B54" s="30" t="s">
        <v>4</v>
      </c>
      <c r="C54" s="31" t="s">
        <v>19</v>
      </c>
      <c r="D54" s="31" t="s">
        <v>20</v>
      </c>
      <c r="E54" s="32" t="s">
        <v>19</v>
      </c>
      <c r="F54" s="32" t="s">
        <v>20</v>
      </c>
    </row>
    <row r="55" spans="1:11" x14ac:dyDescent="0.25">
      <c r="A55" s="124" t="s">
        <v>8</v>
      </c>
      <c r="B55" s="30" t="s">
        <v>9</v>
      </c>
      <c r="C55" s="33">
        <f>(29.89+30.27)/2</f>
        <v>30.08</v>
      </c>
      <c r="D55" s="34" t="s">
        <v>24</v>
      </c>
      <c r="E55" s="35">
        <f>(27.1+27.25)/2</f>
        <v>27.175000000000001</v>
      </c>
      <c r="F55" s="36" t="s">
        <v>24</v>
      </c>
    </row>
    <row r="56" spans="1:11" x14ac:dyDescent="0.25">
      <c r="A56" s="124"/>
      <c r="B56" s="30" t="s">
        <v>10</v>
      </c>
      <c r="C56" s="33">
        <f>(30.08+29.89)/2</f>
        <v>29.984999999999999</v>
      </c>
      <c r="D56" s="34" t="s">
        <v>24</v>
      </c>
      <c r="E56" s="35">
        <f>(27.13+26.96)/2</f>
        <v>27.045000000000002</v>
      </c>
      <c r="F56" s="36" t="s">
        <v>24</v>
      </c>
    </row>
    <row r="57" spans="1:11" x14ac:dyDescent="0.25">
      <c r="A57" s="124"/>
      <c r="B57" s="30" t="s">
        <v>11</v>
      </c>
      <c r="C57" s="33">
        <f>(30.54+30.46)/2</f>
        <v>30.5</v>
      </c>
      <c r="D57" s="34" t="s">
        <v>24</v>
      </c>
      <c r="E57" s="35">
        <f>(27.25+27.24)/2</f>
        <v>27.244999999999997</v>
      </c>
      <c r="F57" s="36" t="s">
        <v>24</v>
      </c>
    </row>
    <row r="58" spans="1:11" x14ac:dyDescent="0.25">
      <c r="A58" s="124"/>
      <c r="B58" s="30" t="s">
        <v>12</v>
      </c>
      <c r="C58" s="33">
        <f>(29.4+29.33)/2</f>
        <v>29.364999999999998</v>
      </c>
      <c r="D58" s="34" t="s">
        <v>24</v>
      </c>
      <c r="E58" s="35">
        <f>(26.23+26.17)/2</f>
        <v>26.200000000000003</v>
      </c>
      <c r="F58" s="36" t="s">
        <v>24</v>
      </c>
    </row>
    <row r="59" spans="1:11" x14ac:dyDescent="0.25">
      <c r="A59" s="124"/>
      <c r="B59" s="30" t="s">
        <v>13</v>
      </c>
      <c r="C59" s="37">
        <f>(32.5+32.21)/2</f>
        <v>32.355000000000004</v>
      </c>
      <c r="D59" s="34" t="s">
        <v>24</v>
      </c>
      <c r="E59" s="35">
        <f>(29.51+29.2)/2</f>
        <v>29.355</v>
      </c>
      <c r="F59" s="36" t="s">
        <v>24</v>
      </c>
    </row>
    <row r="60" spans="1:11" x14ac:dyDescent="0.25">
      <c r="A60" s="124"/>
      <c r="B60" s="30" t="s">
        <v>14</v>
      </c>
      <c r="C60" s="33">
        <f>(29.56+29.24)/2</f>
        <v>29.4</v>
      </c>
      <c r="D60" s="34" t="s">
        <v>24</v>
      </c>
      <c r="E60" s="35">
        <f>(26.39+26.28)/2</f>
        <v>26.335000000000001</v>
      </c>
      <c r="F60" s="36" t="s">
        <v>24</v>
      </c>
    </row>
    <row r="61" spans="1:11" x14ac:dyDescent="0.25">
      <c r="A61" s="124"/>
      <c r="B61" s="30" t="s">
        <v>15</v>
      </c>
      <c r="C61" s="33">
        <f>(30.07+30.05)/2</f>
        <v>30.060000000000002</v>
      </c>
      <c r="D61" s="34" t="s">
        <v>24</v>
      </c>
      <c r="E61" s="35">
        <f>(26.55+26.46)/2</f>
        <v>26.505000000000003</v>
      </c>
      <c r="F61" s="36" t="s">
        <v>24</v>
      </c>
    </row>
    <row r="62" spans="1:11" ht="25.5" x14ac:dyDescent="0.25">
      <c r="A62" s="38" t="s">
        <v>16</v>
      </c>
      <c r="B62" s="39" t="s">
        <v>21</v>
      </c>
      <c r="C62" s="40">
        <f>(31.25+31.18)/2</f>
        <v>31.215</v>
      </c>
      <c r="D62" s="40">
        <f>(31.88+31.17)/2</f>
        <v>31.524999999999999</v>
      </c>
      <c r="E62" s="35">
        <f>(29.21+29.21)/2</f>
        <v>29.21</v>
      </c>
      <c r="F62" s="35">
        <f>(29.57+29.55)/2</f>
        <v>29.560000000000002</v>
      </c>
    </row>
    <row r="63" spans="1:11" x14ac:dyDescent="0.25">
      <c r="A63" s="42" t="s">
        <v>25</v>
      </c>
    </row>
  </sheetData>
  <mergeCells count="28">
    <mergeCell ref="A2:B2"/>
    <mergeCell ref="A3:A4"/>
    <mergeCell ref="E53:F53"/>
    <mergeCell ref="C53:D53"/>
    <mergeCell ref="A53:B53"/>
    <mergeCell ref="F28:G28"/>
    <mergeCell ref="F29:F30"/>
    <mergeCell ref="G29:G30"/>
    <mergeCell ref="F39:G39"/>
    <mergeCell ref="F40:F41"/>
    <mergeCell ref="G40:G41"/>
    <mergeCell ref="A39:B39"/>
    <mergeCell ref="F2:G2"/>
    <mergeCell ref="F3:F4"/>
    <mergeCell ref="G3:G4"/>
    <mergeCell ref="F14:G14"/>
    <mergeCell ref="F15:F16"/>
    <mergeCell ref="G15:G16"/>
    <mergeCell ref="B3:B4"/>
    <mergeCell ref="A5:A11"/>
    <mergeCell ref="A55:A61"/>
    <mergeCell ref="A41:A47"/>
    <mergeCell ref="A29:A35"/>
    <mergeCell ref="A27:B27"/>
    <mergeCell ref="A14:B14"/>
    <mergeCell ref="A15:A16"/>
    <mergeCell ref="B15:B16"/>
    <mergeCell ref="A17:A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5465-2F57-4124-A906-B56800A7FC5E}">
  <dimension ref="A1:V38"/>
  <sheetViews>
    <sheetView tabSelected="1" topLeftCell="A15" zoomScale="107" zoomScaleNormal="110" workbookViewId="0">
      <selection activeCell="M42" sqref="M42"/>
    </sheetView>
  </sheetViews>
  <sheetFormatPr defaultRowHeight="15" x14ac:dyDescent="0.25"/>
  <cols>
    <col min="1" max="1" width="14" customWidth="1"/>
    <col min="3" max="3" width="12.140625" bestFit="1" customWidth="1"/>
  </cols>
  <sheetData>
    <row r="1" spans="1:22" x14ac:dyDescent="0.25">
      <c r="A1" s="9"/>
      <c r="B1" t="s">
        <v>18</v>
      </c>
    </row>
    <row r="2" spans="1:22" x14ac:dyDescent="0.25">
      <c r="A2" s="9"/>
      <c r="C2" s="141">
        <v>20221128</v>
      </c>
      <c r="D2" s="141"/>
      <c r="E2" s="142">
        <v>20221213</v>
      </c>
      <c r="F2" s="142"/>
      <c r="G2" s="142">
        <v>20221214</v>
      </c>
      <c r="H2" s="142"/>
    </row>
    <row r="3" spans="1:22" x14ac:dyDescent="0.25">
      <c r="A3" s="146" t="s">
        <v>0</v>
      </c>
      <c r="B3" s="146"/>
      <c r="C3" s="143" t="s">
        <v>1</v>
      </c>
      <c r="D3" s="144"/>
      <c r="E3" s="144"/>
      <c r="F3" s="144"/>
      <c r="G3" s="144"/>
      <c r="H3" s="145"/>
    </row>
    <row r="4" spans="1:22" ht="25.5" customHeight="1" x14ac:dyDescent="0.25">
      <c r="A4" s="147" t="s">
        <v>3</v>
      </c>
      <c r="B4" s="148" t="s">
        <v>4</v>
      </c>
      <c r="C4" s="137" t="s">
        <v>19</v>
      </c>
      <c r="D4" s="137" t="s">
        <v>20</v>
      </c>
      <c r="E4" s="137" t="s">
        <v>19</v>
      </c>
      <c r="F4" s="137" t="s">
        <v>20</v>
      </c>
      <c r="G4" s="137" t="s">
        <v>19</v>
      </c>
      <c r="H4" s="166" t="s">
        <v>20</v>
      </c>
      <c r="J4" t="s">
        <v>83</v>
      </c>
    </row>
    <row r="5" spans="1:22" ht="25.5" x14ac:dyDescent="0.25">
      <c r="A5" s="147"/>
      <c r="B5" s="148"/>
      <c r="C5" s="137"/>
      <c r="D5" s="137"/>
      <c r="E5" s="137"/>
      <c r="F5" s="137"/>
      <c r="G5" s="137"/>
      <c r="H5" s="166"/>
      <c r="J5" s="110" t="s">
        <v>3</v>
      </c>
      <c r="K5" s="111" t="s">
        <v>4</v>
      </c>
      <c r="L5" s="110" t="s">
        <v>82</v>
      </c>
      <c r="M5" s="111" t="s">
        <v>79</v>
      </c>
      <c r="N5" s="110" t="s">
        <v>80</v>
      </c>
      <c r="O5" s="111" t="s">
        <v>81</v>
      </c>
      <c r="Q5" s="110" t="s">
        <v>3</v>
      </c>
      <c r="R5" s="110" t="s">
        <v>82</v>
      </c>
      <c r="S5" s="111" t="s">
        <v>79</v>
      </c>
      <c r="T5" s="110" t="s">
        <v>80</v>
      </c>
      <c r="U5" s="111" t="s">
        <v>81</v>
      </c>
    </row>
    <row r="6" spans="1:22" x14ac:dyDescent="0.25">
      <c r="A6" s="136" t="s">
        <v>8</v>
      </c>
      <c r="B6" s="18" t="s">
        <v>9</v>
      </c>
      <c r="C6" s="18">
        <v>30.47</v>
      </c>
      <c r="D6" s="18">
        <v>31.46</v>
      </c>
      <c r="E6" s="113">
        <f>AVERAGE(35.62,35.39)</f>
        <v>35.504999999999995</v>
      </c>
      <c r="F6" s="113">
        <v>35.4</v>
      </c>
      <c r="G6" s="112">
        <f>(29.89+30.27)/2</f>
        <v>30.08</v>
      </c>
      <c r="H6" s="167" t="s">
        <v>24</v>
      </c>
      <c r="J6" s="136" t="s">
        <v>8</v>
      </c>
      <c r="K6" s="18" t="s">
        <v>9</v>
      </c>
      <c r="L6" s="115">
        <f>AVERAGE(C6:G6)</f>
        <v>32.583000000000006</v>
      </c>
      <c r="M6" s="115">
        <f>STDEV(C6:G6)</f>
        <v>2.6676056680101716</v>
      </c>
      <c r="N6" s="171">
        <f>M6/L6</f>
        <v>8.1871088236508946E-2</v>
      </c>
      <c r="O6" s="115">
        <f>N6*100</f>
        <v>8.1871088236508953</v>
      </c>
      <c r="Q6" s="21" t="s">
        <v>8</v>
      </c>
      <c r="R6" s="68">
        <f>AVERAGE(C6:G12)</f>
        <v>31.929714285714283</v>
      </c>
      <c r="S6" s="68">
        <f>STDEV(C6:G12)</f>
        <v>1.970350052079856</v>
      </c>
      <c r="T6" s="68">
        <f>S6/R6</f>
        <v>6.1708978490966737E-2</v>
      </c>
      <c r="U6" s="68">
        <f>T6*100</f>
        <v>6.1708978490966739</v>
      </c>
    </row>
    <row r="7" spans="1:22" x14ac:dyDescent="0.25">
      <c r="A7" s="136"/>
      <c r="B7" s="18" t="s">
        <v>10</v>
      </c>
      <c r="C7" s="18">
        <v>32.94</v>
      </c>
      <c r="D7" s="18">
        <v>32.979999999999997</v>
      </c>
      <c r="E7" s="113">
        <v>30.72</v>
      </c>
      <c r="F7" s="113">
        <v>34.28</v>
      </c>
      <c r="G7" s="113">
        <f>(30.08+29.89)/2</f>
        <v>29.984999999999999</v>
      </c>
      <c r="H7" s="167" t="s">
        <v>24</v>
      </c>
      <c r="J7" s="136"/>
      <c r="K7" s="18" t="s">
        <v>10</v>
      </c>
      <c r="L7" s="115">
        <f t="shared" ref="L7:L11" si="0">AVERAGE(C7:G7)</f>
        <v>32.180999999999997</v>
      </c>
      <c r="M7" s="115">
        <f t="shared" ref="M7:M13" si="1">STDEV(C7:G7)</f>
        <v>1.7732188246237406</v>
      </c>
      <c r="N7" s="171">
        <f t="shared" ref="N7:N8" si="2">M7/L7</f>
        <v>5.5101420857765163E-2</v>
      </c>
      <c r="O7" s="115">
        <f t="shared" ref="O7:O13" si="3">N7*100</f>
        <v>5.5101420857765167</v>
      </c>
      <c r="Q7" s="18" t="s">
        <v>16</v>
      </c>
      <c r="R7" s="68">
        <f>AVERAGE(C13:G13)</f>
        <v>30.988999999999997</v>
      </c>
      <c r="S7" s="68">
        <f>STDEV(C13:G13)</f>
        <v>0.79399622165347838</v>
      </c>
      <c r="T7" s="68">
        <f>S7/R7</f>
        <v>2.5621872976006922E-2</v>
      </c>
      <c r="U7" s="68">
        <f>T7*100</f>
        <v>2.5621872976006923</v>
      </c>
    </row>
    <row r="8" spans="1:22" x14ac:dyDescent="0.25">
      <c r="A8" s="136"/>
      <c r="B8" s="18" t="s">
        <v>11</v>
      </c>
      <c r="C8" s="18">
        <v>32.94</v>
      </c>
      <c r="D8" s="18">
        <v>34.04</v>
      </c>
      <c r="E8" s="113">
        <v>29.24</v>
      </c>
      <c r="F8" s="113">
        <v>30.32</v>
      </c>
      <c r="G8" s="113">
        <f>(30.54+30.46)/2</f>
        <v>30.5</v>
      </c>
      <c r="H8" s="167" t="s">
        <v>24</v>
      </c>
      <c r="J8" s="136"/>
      <c r="K8" s="18" t="s">
        <v>11</v>
      </c>
      <c r="L8" s="115">
        <f t="shared" si="0"/>
        <v>31.407999999999998</v>
      </c>
      <c r="M8" s="115">
        <f t="shared" si="1"/>
        <v>1.9989297136217667</v>
      </c>
      <c r="N8" s="171">
        <f t="shared" si="2"/>
        <v>6.3643966939052693E-2</v>
      </c>
      <c r="O8" s="115">
        <f t="shared" si="3"/>
        <v>6.3643966939052694</v>
      </c>
    </row>
    <row r="9" spans="1:22" x14ac:dyDescent="0.25">
      <c r="A9" s="136"/>
      <c r="B9" s="18" t="s">
        <v>12</v>
      </c>
      <c r="C9" s="18">
        <v>31.91</v>
      </c>
      <c r="D9" s="18">
        <v>34.880000000000003</v>
      </c>
      <c r="E9" s="113">
        <v>30.36</v>
      </c>
      <c r="F9" s="113">
        <v>29.8</v>
      </c>
      <c r="G9" s="113">
        <f>(29.4+29.33)/2</f>
        <v>29.364999999999998</v>
      </c>
      <c r="H9" s="167" t="s">
        <v>24</v>
      </c>
      <c r="J9" s="136"/>
      <c r="K9" s="18" t="s">
        <v>12</v>
      </c>
      <c r="L9" s="115">
        <f t="shared" si="0"/>
        <v>31.262999999999998</v>
      </c>
      <c r="M9" s="115">
        <f t="shared" si="1"/>
        <v>2.2393905420895224</v>
      </c>
      <c r="N9" s="171">
        <f>M9/L9</f>
        <v>7.1630698976090673E-2</v>
      </c>
      <c r="O9" s="115">
        <f>N9*100</f>
        <v>7.1630698976090672</v>
      </c>
      <c r="Q9" s="53" t="s">
        <v>8</v>
      </c>
      <c r="R9" s="68">
        <f>AVERAGE(C12:G12)</f>
        <v>32.519999999999996</v>
      </c>
      <c r="S9" s="68">
        <f>STDEV(C12:G12)</f>
        <v>2.4955961211702484</v>
      </c>
      <c r="T9" s="68">
        <f>S9/R9</f>
        <v>7.6740348129466437E-2</v>
      </c>
      <c r="U9" s="68">
        <f>T9*100</f>
        <v>7.674034812946644</v>
      </c>
      <c r="V9" t="s">
        <v>85</v>
      </c>
    </row>
    <row r="10" spans="1:22" x14ac:dyDescent="0.25">
      <c r="A10" s="136"/>
      <c r="B10" s="18" t="s">
        <v>13</v>
      </c>
      <c r="C10" s="18">
        <v>32.15</v>
      </c>
      <c r="D10" s="18">
        <v>32.33</v>
      </c>
      <c r="E10" s="113">
        <v>34.869999999999997</v>
      </c>
      <c r="F10" s="113">
        <v>31.22</v>
      </c>
      <c r="G10" s="113">
        <f>(32.5+32.21)/2</f>
        <v>32.355000000000004</v>
      </c>
      <c r="H10" s="167" t="s">
        <v>24</v>
      </c>
      <c r="J10" s="136"/>
      <c r="K10" s="18" t="s">
        <v>13</v>
      </c>
      <c r="L10" s="115">
        <f t="shared" si="0"/>
        <v>32.585000000000001</v>
      </c>
      <c r="M10" s="115">
        <f t="shared" si="1"/>
        <v>1.3593748563218306</v>
      </c>
      <c r="N10" s="171">
        <f t="shared" ref="N10:N13" si="4">M10/L10</f>
        <v>4.1717810536192439E-2</v>
      </c>
      <c r="O10" s="115">
        <f t="shared" si="3"/>
        <v>4.1717810536192435</v>
      </c>
    </row>
    <row r="11" spans="1:22" x14ac:dyDescent="0.25">
      <c r="A11" s="136"/>
      <c r="B11" s="18" t="s">
        <v>14</v>
      </c>
      <c r="C11" s="18">
        <v>31.99</v>
      </c>
      <c r="D11" s="18">
        <v>30.88</v>
      </c>
      <c r="E11" s="113">
        <v>32.76</v>
      </c>
      <c r="F11" s="113">
        <v>29.81</v>
      </c>
      <c r="G11" s="113">
        <f>(29.56+29.24)/2</f>
        <v>29.4</v>
      </c>
      <c r="H11" s="167" t="s">
        <v>24</v>
      </c>
      <c r="J11" s="136"/>
      <c r="K11" s="18" t="s">
        <v>14</v>
      </c>
      <c r="L11" s="115">
        <f t="shared" si="0"/>
        <v>30.968</v>
      </c>
      <c r="M11" s="115">
        <f t="shared" si="1"/>
        <v>1.4197781516842691</v>
      </c>
      <c r="N11" s="171">
        <f>M11/L11</f>
        <v>4.5846620759631529E-2</v>
      </c>
      <c r="O11" s="115">
        <f>N11*100</f>
        <v>4.5846620759631529</v>
      </c>
    </row>
    <row r="12" spans="1:22" x14ac:dyDescent="0.25">
      <c r="A12" s="136"/>
      <c r="B12" s="18" t="s">
        <v>15</v>
      </c>
      <c r="C12" s="18">
        <v>31.21</v>
      </c>
      <c r="D12" s="18">
        <v>30.91</v>
      </c>
      <c r="E12" s="113">
        <v>35.409999999999997</v>
      </c>
      <c r="F12" s="113">
        <v>35.01</v>
      </c>
      <c r="G12" s="113">
        <f>(30.07+30.05)/2</f>
        <v>30.060000000000002</v>
      </c>
      <c r="H12" s="167" t="s">
        <v>24</v>
      </c>
      <c r="J12" s="136"/>
      <c r="K12" s="18" t="s">
        <v>15</v>
      </c>
      <c r="L12" s="115">
        <f>AVERAGE(C12:G12)</f>
        <v>32.519999999999996</v>
      </c>
      <c r="M12" s="115">
        <f>STDEV(C12:G12)</f>
        <v>2.4955961211702484</v>
      </c>
      <c r="N12" s="171">
        <f>M12/L12</f>
        <v>7.6740348129466437E-2</v>
      </c>
      <c r="O12" s="115">
        <f>N12*100</f>
        <v>7.674034812946644</v>
      </c>
    </row>
    <row r="13" spans="1:22" ht="38.25" x14ac:dyDescent="0.25">
      <c r="A13" s="18" t="s">
        <v>16</v>
      </c>
      <c r="B13" s="21" t="s">
        <v>17</v>
      </c>
      <c r="C13" s="35">
        <v>30.09</v>
      </c>
      <c r="D13" s="35">
        <v>30.28</v>
      </c>
      <c r="E13" s="20">
        <v>31.36</v>
      </c>
      <c r="F13" s="20">
        <v>32</v>
      </c>
      <c r="G13" s="20">
        <f>(31.25+31.18)/2</f>
        <v>31.215</v>
      </c>
      <c r="H13" s="168">
        <f>(31.88+31.17)/2</f>
        <v>31.524999999999999</v>
      </c>
      <c r="J13" s="18" t="s">
        <v>16</v>
      </c>
      <c r="K13" s="21" t="s">
        <v>17</v>
      </c>
      <c r="L13" s="115">
        <f>AVERAGE(C13:G13)</f>
        <v>30.988999999999997</v>
      </c>
      <c r="M13" s="115">
        <f t="shared" si="1"/>
        <v>0.79399622165347838</v>
      </c>
      <c r="N13" s="171">
        <f t="shared" si="4"/>
        <v>2.5621872976006922E-2</v>
      </c>
      <c r="O13" s="116">
        <f>N13*100</f>
        <v>2.5621872976006923</v>
      </c>
    </row>
    <row r="14" spans="1:22" x14ac:dyDescent="0.25">
      <c r="A14" s="157"/>
      <c r="B14" s="158"/>
      <c r="C14" s="159"/>
      <c r="D14" s="159"/>
      <c r="E14" s="160"/>
      <c r="F14" s="160"/>
      <c r="G14" s="159"/>
      <c r="H14" s="161"/>
      <c r="J14" s="157"/>
      <c r="K14" s="158"/>
      <c r="L14" s="162"/>
      <c r="M14" s="162"/>
      <c r="N14" s="162"/>
      <c r="O14" s="163"/>
    </row>
    <row r="15" spans="1:22" x14ac:dyDescent="0.25">
      <c r="A15" s="157"/>
      <c r="B15" s="158"/>
      <c r="C15" s="159" t="s">
        <v>86</v>
      </c>
      <c r="D15" s="159" t="s">
        <v>93</v>
      </c>
      <c r="E15" s="160" t="s">
        <v>80</v>
      </c>
      <c r="F15" s="160" t="s">
        <v>81</v>
      </c>
      <c r="G15" s="159"/>
      <c r="H15" s="161"/>
      <c r="J15" s="157"/>
      <c r="K15" s="158"/>
      <c r="L15" s="162"/>
      <c r="M15" s="162"/>
      <c r="N15" s="162"/>
      <c r="O15" s="163"/>
    </row>
    <row r="16" spans="1:22" x14ac:dyDescent="0.25">
      <c r="A16" s="165" t="s">
        <v>87</v>
      </c>
      <c r="B16" s="164" t="s">
        <v>88</v>
      </c>
      <c r="C16" s="160">
        <f>AVERAGE(C6:C11)</f>
        <v>32.06666666666667</v>
      </c>
      <c r="D16" s="159">
        <f>STDEV(C6:C11)</f>
        <v>0.90687742648423308</v>
      </c>
      <c r="E16" s="160">
        <f>D16/C16</f>
        <v>2.8281000825911631E-2</v>
      </c>
      <c r="F16" s="160">
        <f>E16*100</f>
        <v>2.8281000825911633</v>
      </c>
      <c r="G16" s="159"/>
      <c r="H16" s="161"/>
      <c r="J16" s="157"/>
      <c r="K16" s="158"/>
      <c r="L16" s="162"/>
      <c r="M16" s="162"/>
      <c r="N16" s="162"/>
      <c r="O16" s="163"/>
    </row>
    <row r="17" spans="1:21" x14ac:dyDescent="0.25">
      <c r="A17" s="165"/>
      <c r="B17" s="157" t="s">
        <v>89</v>
      </c>
      <c r="C17" s="160">
        <f>AVERAGE(D6:D11)</f>
        <v>32.761666666666663</v>
      </c>
      <c r="D17" s="159">
        <f>STDEV(D6:D11)</f>
        <v>1.5225296931970387</v>
      </c>
      <c r="E17" s="160">
        <f t="shared" ref="E17:E20" si="5">D17/C17</f>
        <v>4.6472901048899798E-2</v>
      </c>
      <c r="F17" s="160">
        <f t="shared" ref="F17:F20" si="6">E17*100</f>
        <v>4.6472901048899802</v>
      </c>
      <c r="G17" s="157"/>
      <c r="H17" s="157"/>
      <c r="I17" s="157"/>
      <c r="J17" s="157"/>
      <c r="K17" s="158"/>
      <c r="L17" s="162"/>
      <c r="M17" s="162"/>
      <c r="N17" s="162"/>
      <c r="O17" s="163"/>
    </row>
    <row r="18" spans="1:21" x14ac:dyDescent="0.25">
      <c r="A18" s="165"/>
      <c r="B18" s="164" t="s">
        <v>90</v>
      </c>
      <c r="C18" s="160">
        <f>AVERAGE(E6:E11)</f>
        <v>32.2425</v>
      </c>
      <c r="D18" s="159">
        <f>STDEV(E6:E11)</f>
        <v>2.5570407701090718</v>
      </c>
      <c r="E18" s="160">
        <f t="shared" si="5"/>
        <v>7.930652927375581E-2</v>
      </c>
      <c r="F18" s="160">
        <f t="shared" si="6"/>
        <v>7.930652927375581</v>
      </c>
      <c r="G18" s="157"/>
      <c r="H18" s="157"/>
      <c r="I18" s="157"/>
      <c r="J18" s="157"/>
      <c r="K18" s="158"/>
      <c r="L18" s="162"/>
      <c r="M18" s="162"/>
      <c r="N18" s="162"/>
      <c r="O18" s="163"/>
    </row>
    <row r="19" spans="1:21" x14ac:dyDescent="0.25">
      <c r="A19" s="165"/>
      <c r="B19" s="157" t="s">
        <v>91</v>
      </c>
      <c r="C19" s="160">
        <f>AVERAGE(F6:F11)</f>
        <v>31.805000000000003</v>
      </c>
      <c r="D19" s="159">
        <f>STDEV(F6:F11)</f>
        <v>2.4329878750211642</v>
      </c>
      <c r="E19" s="160">
        <f t="shared" si="5"/>
        <v>7.6497024839527236E-2</v>
      </c>
      <c r="F19" s="160">
        <f t="shared" si="6"/>
        <v>7.6497024839527237</v>
      </c>
      <c r="G19" s="159"/>
      <c r="H19" s="161"/>
      <c r="J19" s="157"/>
      <c r="K19" s="158"/>
      <c r="L19" s="162"/>
      <c r="M19" s="162"/>
      <c r="N19" s="162"/>
      <c r="O19" s="163"/>
    </row>
    <row r="20" spans="1:21" x14ac:dyDescent="0.25">
      <c r="A20" s="165"/>
      <c r="B20" s="164" t="s">
        <v>92</v>
      </c>
      <c r="C20" s="160">
        <f>AVERAGE(G6:G11)</f>
        <v>30.280833333333334</v>
      </c>
      <c r="D20" s="159">
        <f>STDEV(G6:G11)</f>
        <v>1.1038723507121062</v>
      </c>
      <c r="E20" s="160">
        <f t="shared" si="5"/>
        <v>3.6454490487781807E-2</v>
      </c>
      <c r="F20" s="160">
        <f t="shared" si="6"/>
        <v>3.6454490487781808</v>
      </c>
      <c r="G20" s="159"/>
      <c r="H20" s="161"/>
      <c r="J20" s="157"/>
      <c r="K20" s="158"/>
      <c r="L20" s="162"/>
      <c r="M20" s="162"/>
      <c r="N20" s="162"/>
      <c r="O20" s="163"/>
    </row>
    <row r="21" spans="1:21" x14ac:dyDescent="0.25">
      <c r="A21" s="157"/>
      <c r="B21" s="158"/>
      <c r="C21" s="159"/>
      <c r="D21" s="159"/>
      <c r="E21" s="160"/>
      <c r="F21" s="160"/>
      <c r="G21" s="159"/>
      <c r="H21" s="161"/>
      <c r="J21" s="157"/>
      <c r="K21" s="158"/>
      <c r="L21" s="162"/>
      <c r="M21" s="162"/>
      <c r="N21" s="162"/>
      <c r="O21" s="163"/>
    </row>
    <row r="22" spans="1:21" x14ac:dyDescent="0.25">
      <c r="A22" s="157"/>
      <c r="B22" s="158"/>
      <c r="C22" s="159"/>
      <c r="D22" s="159"/>
      <c r="E22" s="160"/>
      <c r="F22" s="160"/>
      <c r="G22" s="159"/>
      <c r="H22" s="161"/>
      <c r="J22" s="157"/>
      <c r="K22" s="158"/>
      <c r="L22" s="162"/>
      <c r="M22" s="162"/>
      <c r="N22" s="162"/>
      <c r="O22" s="163"/>
    </row>
    <row r="23" spans="1:21" x14ac:dyDescent="0.25">
      <c r="A23" s="157"/>
      <c r="B23" s="158"/>
      <c r="C23" s="159"/>
      <c r="D23" s="159"/>
      <c r="E23" s="160"/>
      <c r="F23" s="160"/>
      <c r="G23" s="159"/>
      <c r="H23" s="161"/>
      <c r="J23" s="157"/>
      <c r="K23" s="158"/>
      <c r="L23" s="162"/>
      <c r="M23" s="162"/>
      <c r="N23" s="162"/>
      <c r="O23" s="163"/>
    </row>
    <row r="24" spans="1:21" x14ac:dyDescent="0.25">
      <c r="A24" s="157"/>
      <c r="B24" s="158"/>
      <c r="C24" s="159"/>
      <c r="D24" s="159"/>
      <c r="E24" s="160"/>
      <c r="F24" s="160"/>
      <c r="G24" s="159"/>
      <c r="H24" s="161"/>
      <c r="J24" s="157"/>
      <c r="K24" s="158"/>
      <c r="L24" s="162"/>
      <c r="M24" s="162"/>
      <c r="N24" s="162"/>
      <c r="O24" s="163"/>
    </row>
    <row r="25" spans="1:21" x14ac:dyDescent="0.25">
      <c r="A25" s="157"/>
      <c r="B25" s="158"/>
      <c r="C25" s="159"/>
      <c r="D25" s="159"/>
      <c r="E25" s="160"/>
      <c r="F25" s="160"/>
      <c r="G25" s="159"/>
      <c r="H25" s="161"/>
      <c r="J25" s="157"/>
      <c r="K25" s="158"/>
      <c r="L25" s="162"/>
      <c r="M25" s="162"/>
      <c r="N25" s="162"/>
      <c r="O25" s="163"/>
    </row>
    <row r="26" spans="1:21" x14ac:dyDescent="0.25">
      <c r="A26" s="107"/>
      <c r="B26" s="108"/>
      <c r="C26" s="109"/>
      <c r="D26" s="109"/>
    </row>
    <row r="27" spans="1:21" x14ac:dyDescent="0.25">
      <c r="A27" s="146" t="s">
        <v>0</v>
      </c>
      <c r="B27" s="146"/>
      <c r="C27" s="138" t="s">
        <v>2</v>
      </c>
      <c r="D27" s="139"/>
      <c r="E27" s="139"/>
      <c r="F27" s="139"/>
      <c r="G27" s="139"/>
      <c r="H27" s="140"/>
    </row>
    <row r="28" spans="1:21" ht="25.5" customHeight="1" x14ac:dyDescent="0.25">
      <c r="A28" s="147" t="s">
        <v>3</v>
      </c>
      <c r="B28" s="148" t="s">
        <v>4</v>
      </c>
      <c r="C28" s="137" t="s">
        <v>19</v>
      </c>
      <c r="D28" s="137" t="s">
        <v>20</v>
      </c>
      <c r="E28" s="137" t="s">
        <v>19</v>
      </c>
      <c r="F28" s="137" t="s">
        <v>20</v>
      </c>
      <c r="G28" s="137" t="s">
        <v>19</v>
      </c>
      <c r="H28" s="166" t="s">
        <v>20</v>
      </c>
      <c r="J28" t="s">
        <v>84</v>
      </c>
    </row>
    <row r="29" spans="1:21" ht="25.5" x14ac:dyDescent="0.25">
      <c r="A29" s="147"/>
      <c r="B29" s="148"/>
      <c r="C29" s="137"/>
      <c r="D29" s="137"/>
      <c r="E29" s="137"/>
      <c r="F29" s="137"/>
      <c r="G29" s="137"/>
      <c r="H29" s="166"/>
      <c r="J29" s="110" t="s">
        <v>3</v>
      </c>
      <c r="K29" s="111" t="s">
        <v>4</v>
      </c>
      <c r="L29" s="110" t="s">
        <v>82</v>
      </c>
      <c r="M29" s="111" t="s">
        <v>79</v>
      </c>
      <c r="N29" s="110" t="s">
        <v>80</v>
      </c>
      <c r="O29" s="111" t="s">
        <v>81</v>
      </c>
      <c r="Q29" s="110" t="s">
        <v>3</v>
      </c>
      <c r="R29" s="110" t="s">
        <v>82</v>
      </c>
      <c r="S29" s="111" t="s">
        <v>79</v>
      </c>
      <c r="T29" s="110" t="s">
        <v>80</v>
      </c>
      <c r="U29" s="111" t="s">
        <v>81</v>
      </c>
    </row>
    <row r="30" spans="1:21" x14ac:dyDescent="0.25">
      <c r="A30" s="136" t="s">
        <v>8</v>
      </c>
      <c r="B30" s="18" t="s">
        <v>9</v>
      </c>
      <c r="C30" s="112">
        <v>27.73</v>
      </c>
      <c r="D30" s="112">
        <v>28.53</v>
      </c>
      <c r="E30" s="114">
        <v>34.270000000000003</v>
      </c>
      <c r="F30" s="114">
        <v>34.01</v>
      </c>
      <c r="G30" s="114">
        <f>(27.1+27.25)/2</f>
        <v>27.175000000000001</v>
      </c>
      <c r="H30" s="169" t="s">
        <v>24</v>
      </c>
      <c r="J30" s="136" t="s">
        <v>8</v>
      </c>
      <c r="K30" s="18" t="s">
        <v>9</v>
      </c>
      <c r="L30" s="115">
        <f t="shared" ref="L30:L37" si="7">AVERAGE(C30:G30)</f>
        <v>30.343</v>
      </c>
      <c r="M30" s="115">
        <f>STDEV(C30:G30)</f>
        <v>3.5006849329809491</v>
      </c>
      <c r="N30" s="171">
        <f>M30/L30</f>
        <v>0.11537042919226671</v>
      </c>
      <c r="O30" s="115">
        <f>N30*100</f>
        <v>11.537042919226671</v>
      </c>
      <c r="Q30" s="21" t="s">
        <v>8</v>
      </c>
      <c r="R30" s="68">
        <f>AVERAGE(C30:G36)</f>
        <v>29.392857142857149</v>
      </c>
      <c r="S30" s="68">
        <f>STDEV(C30:G36)</f>
        <v>2.3716826013074637</v>
      </c>
      <c r="T30" s="68">
        <f>S30/R30</f>
        <v>8.0689079995879667E-2</v>
      </c>
      <c r="U30" s="68">
        <f>T30*100</f>
        <v>8.0689079995879673</v>
      </c>
    </row>
    <row r="31" spans="1:21" x14ac:dyDescent="0.25">
      <c r="A31" s="136"/>
      <c r="B31" s="18" t="s">
        <v>10</v>
      </c>
      <c r="C31" s="112">
        <v>30.25</v>
      </c>
      <c r="D31" s="112">
        <v>30.34</v>
      </c>
      <c r="E31" s="114">
        <v>28.78</v>
      </c>
      <c r="F31" s="114">
        <v>32.22</v>
      </c>
      <c r="G31" s="114">
        <f>(27.13+26.96)/2</f>
        <v>27.045000000000002</v>
      </c>
      <c r="H31" s="169" t="s">
        <v>24</v>
      </c>
      <c r="J31" s="136"/>
      <c r="K31" s="18" t="s">
        <v>10</v>
      </c>
      <c r="L31" s="115">
        <f t="shared" si="7"/>
        <v>29.726999999999997</v>
      </c>
      <c r="M31" s="115">
        <f t="shared" ref="M31:M37" si="8">STDEV(C31:G31)</f>
        <v>1.9335382075356038</v>
      </c>
      <c r="N31" s="171">
        <f t="shared" ref="N31:N37" si="9">M31/L31</f>
        <v>6.5043166398748742E-2</v>
      </c>
      <c r="O31" s="115">
        <f t="shared" ref="O31:O36" si="10">N31*100</f>
        <v>6.5043166398748742</v>
      </c>
      <c r="Q31" s="18" t="s">
        <v>16</v>
      </c>
      <c r="R31" s="68">
        <f>AVERAGE(C37:G37)</f>
        <v>29.336000000000002</v>
      </c>
      <c r="S31" s="68">
        <f>STDEV(C37:G37)</f>
        <v>0.93331666651785394</v>
      </c>
      <c r="T31" s="68">
        <f>S31/R31</f>
        <v>3.1814721383891936E-2</v>
      </c>
      <c r="U31" s="68">
        <f>T31*100</f>
        <v>3.1814721383891937</v>
      </c>
    </row>
    <row r="32" spans="1:21" x14ac:dyDescent="0.25">
      <c r="A32" s="136"/>
      <c r="B32" s="18" t="s">
        <v>11</v>
      </c>
      <c r="C32" s="112">
        <v>30.62</v>
      </c>
      <c r="D32" s="112">
        <v>31.87</v>
      </c>
      <c r="E32" s="114">
        <v>27.21</v>
      </c>
      <c r="F32" s="114">
        <v>27.54</v>
      </c>
      <c r="G32" s="114">
        <f>(27.25+27.24)/2</f>
        <v>27.244999999999997</v>
      </c>
      <c r="H32" s="169" t="s">
        <v>24</v>
      </c>
      <c r="J32" s="136"/>
      <c r="K32" s="18" t="s">
        <v>11</v>
      </c>
      <c r="L32" s="115">
        <f t="shared" si="7"/>
        <v>28.897000000000002</v>
      </c>
      <c r="M32" s="115">
        <f t="shared" si="8"/>
        <v>2.1922579683969685</v>
      </c>
      <c r="N32" s="171">
        <f t="shared" si="9"/>
        <v>7.5864552320205156E-2</v>
      </c>
      <c r="O32" s="115">
        <f t="shared" si="10"/>
        <v>7.5864552320205156</v>
      </c>
    </row>
    <row r="33" spans="1:22" x14ac:dyDescent="0.25">
      <c r="A33" s="136"/>
      <c r="B33" s="18" t="s">
        <v>12</v>
      </c>
      <c r="C33" s="112">
        <v>29.06</v>
      </c>
      <c r="D33" s="112">
        <v>32.380000000000003</v>
      </c>
      <c r="E33" s="114">
        <v>27.88</v>
      </c>
      <c r="F33" s="114">
        <v>27.37</v>
      </c>
      <c r="G33" s="114">
        <f>(26.23+26.17)/2</f>
        <v>26.200000000000003</v>
      </c>
      <c r="H33" s="169" t="s">
        <v>24</v>
      </c>
      <c r="J33" s="136"/>
      <c r="K33" s="18" t="s">
        <v>12</v>
      </c>
      <c r="L33" s="115">
        <f t="shared" si="7"/>
        <v>28.577999999999996</v>
      </c>
      <c r="M33" s="115">
        <f t="shared" si="8"/>
        <v>2.3605550194816476</v>
      </c>
      <c r="N33" s="171">
        <f t="shared" si="9"/>
        <v>8.2600427583513464E-2</v>
      </c>
      <c r="O33" s="115">
        <f t="shared" si="10"/>
        <v>8.2600427583513465</v>
      </c>
      <c r="Q33" s="53" t="s">
        <v>8</v>
      </c>
      <c r="R33" s="68">
        <f>AVERAGE(C36:G36)</f>
        <v>29.350999999999999</v>
      </c>
      <c r="S33" s="68">
        <f>STDEV(C36:G36)</f>
        <v>2.6413405687264166</v>
      </c>
      <c r="T33" s="68">
        <f>S33/R33</f>
        <v>8.9991501779374358E-2</v>
      </c>
      <c r="U33" s="68">
        <f>T33*100</f>
        <v>8.9991501779374357</v>
      </c>
      <c r="V33" t="s">
        <v>85</v>
      </c>
    </row>
    <row r="34" spans="1:22" x14ac:dyDescent="0.25">
      <c r="A34" s="136"/>
      <c r="B34" s="18" t="s">
        <v>13</v>
      </c>
      <c r="C34" s="112">
        <v>29.07</v>
      </c>
      <c r="D34" s="112">
        <v>29.83</v>
      </c>
      <c r="E34" s="114">
        <v>34.86</v>
      </c>
      <c r="F34" s="114">
        <v>28.8</v>
      </c>
      <c r="G34" s="114">
        <f>(29.51+29.2)/2</f>
        <v>29.355</v>
      </c>
      <c r="H34" s="169" t="s">
        <v>24</v>
      </c>
      <c r="J34" s="136"/>
      <c r="K34" s="18" t="s">
        <v>13</v>
      </c>
      <c r="L34" s="115">
        <f t="shared" si="7"/>
        <v>30.382999999999999</v>
      </c>
      <c r="M34" s="115">
        <f t="shared" si="8"/>
        <v>2.5315992968872458</v>
      </c>
      <c r="N34" s="171">
        <f t="shared" si="9"/>
        <v>8.3322887696647668E-2</v>
      </c>
      <c r="O34" s="115">
        <f t="shared" si="10"/>
        <v>8.3322887696647676</v>
      </c>
    </row>
    <row r="35" spans="1:22" x14ac:dyDescent="0.25">
      <c r="A35" s="136"/>
      <c r="B35" s="18" t="s">
        <v>14</v>
      </c>
      <c r="C35" s="112">
        <v>29.19</v>
      </c>
      <c r="D35" s="112">
        <v>27.97</v>
      </c>
      <c r="E35" s="114">
        <v>31.2</v>
      </c>
      <c r="F35" s="114">
        <v>27.66</v>
      </c>
      <c r="G35" s="114">
        <f>(26.39+26.28)/2</f>
        <v>26.335000000000001</v>
      </c>
      <c r="H35" s="169" t="s">
        <v>24</v>
      </c>
      <c r="J35" s="136"/>
      <c r="K35" s="18" t="s">
        <v>14</v>
      </c>
      <c r="L35" s="115">
        <f t="shared" si="7"/>
        <v>28.470999999999997</v>
      </c>
      <c r="M35" s="115">
        <f t="shared" si="8"/>
        <v>1.8327315679062219</v>
      </c>
      <c r="N35" s="171">
        <f t="shared" si="9"/>
        <v>6.4371872006821748E-2</v>
      </c>
      <c r="O35" s="115">
        <f t="shared" si="10"/>
        <v>6.4371872006821746</v>
      </c>
    </row>
    <row r="36" spans="1:22" x14ac:dyDescent="0.25">
      <c r="A36" s="136"/>
      <c r="B36" s="18" t="s">
        <v>15</v>
      </c>
      <c r="C36" s="112">
        <v>28.17</v>
      </c>
      <c r="D36" s="112">
        <v>28.16</v>
      </c>
      <c r="E36" s="114">
        <v>33.26</v>
      </c>
      <c r="F36" s="114">
        <v>30.66</v>
      </c>
      <c r="G36" s="114">
        <f>(26.55+26.46)/2</f>
        <v>26.505000000000003</v>
      </c>
      <c r="H36" s="169" t="s">
        <v>24</v>
      </c>
      <c r="J36" s="136"/>
      <c r="K36" s="18" t="s">
        <v>15</v>
      </c>
      <c r="L36" s="115">
        <f t="shared" si="7"/>
        <v>29.350999999999999</v>
      </c>
      <c r="M36" s="115">
        <f t="shared" si="8"/>
        <v>2.6413405687264166</v>
      </c>
      <c r="N36" s="171">
        <f t="shared" si="9"/>
        <v>8.9991501779374358E-2</v>
      </c>
      <c r="O36" s="115">
        <f t="shared" si="10"/>
        <v>8.9991501779374357</v>
      </c>
    </row>
    <row r="37" spans="1:22" ht="38.25" x14ac:dyDescent="0.25">
      <c r="A37" s="18" t="s">
        <v>16</v>
      </c>
      <c r="B37" s="21" t="s">
        <v>17</v>
      </c>
      <c r="C37" s="35">
        <v>28.26</v>
      </c>
      <c r="D37" s="35">
        <v>28.65</v>
      </c>
      <c r="E37" s="20">
        <v>30.11</v>
      </c>
      <c r="F37" s="20">
        <v>30.45</v>
      </c>
      <c r="G37" s="35">
        <f>(29.21+29.21)/2</f>
        <v>29.21</v>
      </c>
      <c r="H37" s="170">
        <f>(29.57+29.55)/2</f>
        <v>29.560000000000002</v>
      </c>
      <c r="J37" s="18" t="s">
        <v>16</v>
      </c>
      <c r="K37" s="21" t="s">
        <v>17</v>
      </c>
      <c r="L37" s="115">
        <f t="shared" si="7"/>
        <v>29.336000000000002</v>
      </c>
      <c r="M37" s="115">
        <f t="shared" si="8"/>
        <v>0.93331666651785394</v>
      </c>
      <c r="N37" s="171">
        <f t="shared" si="9"/>
        <v>3.1814721383891936E-2</v>
      </c>
      <c r="O37" s="116">
        <f>N37*100</f>
        <v>3.1814721383891937</v>
      </c>
    </row>
    <row r="38" spans="1:22" x14ac:dyDescent="0.25">
      <c r="A38" s="107"/>
      <c r="B38" s="108"/>
      <c r="C38" s="109"/>
      <c r="D38" s="109"/>
    </row>
  </sheetData>
  <mergeCells count="28">
    <mergeCell ref="A28:A29"/>
    <mergeCell ref="B28:B29"/>
    <mergeCell ref="A16:A20"/>
    <mergeCell ref="A30:A36"/>
    <mergeCell ref="A6:A12"/>
    <mergeCell ref="C2:D2"/>
    <mergeCell ref="E2:F2"/>
    <mergeCell ref="G2:H2"/>
    <mergeCell ref="E4:E5"/>
    <mergeCell ref="F4:F5"/>
    <mergeCell ref="G4:G5"/>
    <mergeCell ref="H4:H5"/>
    <mergeCell ref="C4:C5"/>
    <mergeCell ref="D4:D5"/>
    <mergeCell ref="C3:H3"/>
    <mergeCell ref="A3:B3"/>
    <mergeCell ref="A4:A5"/>
    <mergeCell ref="B4:B5"/>
    <mergeCell ref="A27:B27"/>
    <mergeCell ref="J6:J12"/>
    <mergeCell ref="J30:J36"/>
    <mergeCell ref="E28:E29"/>
    <mergeCell ref="F28:F29"/>
    <mergeCell ref="G28:G29"/>
    <mergeCell ref="H28:H29"/>
    <mergeCell ref="C27:H27"/>
    <mergeCell ref="C28:C29"/>
    <mergeCell ref="D28:D29"/>
  </mergeCells>
  <phoneticPr fontId="2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H12" sqref="H12"/>
    </sheetView>
  </sheetViews>
  <sheetFormatPr defaultRowHeight="15" x14ac:dyDescent="0.25"/>
  <sheetData>
    <row r="1" spans="1:5" x14ac:dyDescent="0.25">
      <c r="A1" t="s">
        <v>27</v>
      </c>
    </row>
    <row r="2" spans="1:5" x14ac:dyDescent="0.25">
      <c r="A2" s="128" t="s">
        <v>0</v>
      </c>
      <c r="B2" s="129"/>
      <c r="C2" s="24" t="s">
        <v>1</v>
      </c>
      <c r="D2" s="25" t="s">
        <v>2</v>
      </c>
    </row>
    <row r="3" spans="1:5" ht="25.5" x14ac:dyDescent="0.25">
      <c r="A3" s="14" t="s">
        <v>3</v>
      </c>
      <c r="B3" s="15" t="s">
        <v>4</v>
      </c>
      <c r="C3" s="16" t="s">
        <v>31</v>
      </c>
      <c r="D3" s="17" t="s">
        <v>31</v>
      </c>
    </row>
    <row r="4" spans="1:5" x14ac:dyDescent="0.25">
      <c r="A4" s="55" t="s">
        <v>8</v>
      </c>
      <c r="B4" s="18" t="s">
        <v>15</v>
      </c>
      <c r="C4" s="19" t="s">
        <v>26</v>
      </c>
      <c r="D4" s="20">
        <f>(30.36+30.62)/2</f>
        <v>30.490000000000002</v>
      </c>
    </row>
    <row r="5" spans="1:5" ht="25.5" x14ac:dyDescent="0.25">
      <c r="A5" s="22" t="s">
        <v>16</v>
      </c>
      <c r="B5" s="21" t="s">
        <v>21</v>
      </c>
      <c r="C5" s="19" t="s">
        <v>26</v>
      </c>
      <c r="D5" s="20">
        <f>(29.82+29.62)/2</f>
        <v>29.72</v>
      </c>
    </row>
    <row r="8" spans="1:5" x14ac:dyDescent="0.25">
      <c r="A8" t="s">
        <v>29</v>
      </c>
    </row>
    <row r="9" spans="1:5" x14ac:dyDescent="0.25">
      <c r="A9" s="149" t="s">
        <v>0</v>
      </c>
      <c r="B9" s="149"/>
      <c r="C9" s="24" t="s">
        <v>1</v>
      </c>
      <c r="D9" s="25" t="s">
        <v>2</v>
      </c>
      <c r="E9" s="25" t="s">
        <v>30</v>
      </c>
    </row>
    <row r="10" spans="1:5" ht="25.5" x14ac:dyDescent="0.25">
      <c r="A10" s="14" t="s">
        <v>3</v>
      </c>
      <c r="B10" s="15" t="s">
        <v>4</v>
      </c>
      <c r="C10" s="16" t="s">
        <v>31</v>
      </c>
      <c r="D10" s="17" t="s">
        <v>31</v>
      </c>
      <c r="E10" s="17" t="s">
        <v>32</v>
      </c>
    </row>
    <row r="11" spans="1:5" x14ac:dyDescent="0.25">
      <c r="A11" s="54" t="s">
        <v>8</v>
      </c>
      <c r="B11" s="18" t="s">
        <v>15</v>
      </c>
      <c r="C11" s="53">
        <f>(34.08+35.12)/2</f>
        <v>34.599999999999994</v>
      </c>
      <c r="D11" s="20">
        <f>(31.42+31.35)/2</f>
        <v>31.385000000000002</v>
      </c>
      <c r="E11" s="20">
        <f>(35.35+35.56)/2</f>
        <v>35.454999999999998</v>
      </c>
    </row>
    <row r="12" spans="1:5" ht="25.5" x14ac:dyDescent="0.25">
      <c r="A12" s="18" t="s">
        <v>16</v>
      </c>
      <c r="B12" s="21" t="s">
        <v>21</v>
      </c>
      <c r="C12" s="19">
        <f>(34.57+34.1)/2</f>
        <v>34.335000000000001</v>
      </c>
      <c r="D12" s="20">
        <f>(30.82+30.76)/2</f>
        <v>30.79</v>
      </c>
      <c r="E12" s="20">
        <f>(35.24+35.64)/2</f>
        <v>35.44</v>
      </c>
    </row>
  </sheetData>
  <mergeCells count="2">
    <mergeCell ref="A2:B2"/>
    <mergeCell ref="A9:B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topLeftCell="B1" zoomScale="90" zoomScaleNormal="90" workbookViewId="0">
      <pane ySplit="3" topLeftCell="A4" activePane="bottomLeft" state="frozen"/>
      <selection pane="bottomLeft" activeCell="I6" sqref="I6"/>
    </sheetView>
  </sheetViews>
  <sheetFormatPr defaultRowHeight="15" x14ac:dyDescent="0.25"/>
  <cols>
    <col min="1" max="1" width="10.5703125" bestFit="1" customWidth="1"/>
    <col min="2" max="2" width="38.85546875" customWidth="1"/>
    <col min="3" max="12" width="15.7109375" customWidth="1"/>
  </cols>
  <sheetData>
    <row r="1" spans="1:12" x14ac:dyDescent="0.25">
      <c r="C1" s="150" t="s">
        <v>61</v>
      </c>
      <c r="D1" s="150"/>
      <c r="E1" s="150"/>
      <c r="F1" s="150" t="s">
        <v>62</v>
      </c>
      <c r="G1" s="150"/>
      <c r="H1" s="150"/>
      <c r="I1" s="53"/>
      <c r="J1" s="150" t="s">
        <v>56</v>
      </c>
      <c r="K1" s="150"/>
      <c r="L1" s="150"/>
    </row>
    <row r="2" spans="1:12" ht="30" x14ac:dyDescent="0.25">
      <c r="A2" s="53"/>
      <c r="B2" s="53" t="s">
        <v>51</v>
      </c>
      <c r="C2" s="57" t="s">
        <v>52</v>
      </c>
      <c r="D2" s="63" t="s">
        <v>53</v>
      </c>
      <c r="E2" s="61" t="s">
        <v>68</v>
      </c>
      <c r="F2" s="57" t="s">
        <v>64</v>
      </c>
      <c r="G2" s="63" t="s">
        <v>65</v>
      </c>
      <c r="H2" s="73" t="s">
        <v>67</v>
      </c>
      <c r="I2" s="61" t="s">
        <v>77</v>
      </c>
      <c r="J2" s="57" t="s">
        <v>57</v>
      </c>
      <c r="K2" s="63" t="s">
        <v>58</v>
      </c>
      <c r="L2" s="61" t="s">
        <v>66</v>
      </c>
    </row>
    <row r="3" spans="1:12" x14ac:dyDescent="0.25">
      <c r="A3" s="53" t="s">
        <v>63</v>
      </c>
      <c r="B3" s="53"/>
      <c r="C3" s="57" t="s">
        <v>2</v>
      </c>
      <c r="D3" s="62" t="s">
        <v>54</v>
      </c>
      <c r="E3" s="58" t="s">
        <v>1</v>
      </c>
      <c r="F3" s="57" t="s">
        <v>2</v>
      </c>
      <c r="G3" s="62" t="s">
        <v>54</v>
      </c>
      <c r="H3" s="74" t="s">
        <v>1</v>
      </c>
      <c r="I3" s="58"/>
      <c r="J3" s="57"/>
      <c r="K3" s="62"/>
      <c r="L3" s="58"/>
    </row>
    <row r="4" spans="1:12" x14ac:dyDescent="0.25">
      <c r="A4" s="59">
        <v>1</v>
      </c>
      <c r="B4" s="60" t="s">
        <v>34</v>
      </c>
      <c r="C4" s="68">
        <v>33.04</v>
      </c>
      <c r="D4" s="71" t="s">
        <v>55</v>
      </c>
      <c r="E4" s="53">
        <v>36.82</v>
      </c>
      <c r="F4" s="67">
        <v>1.9235717567197457</v>
      </c>
      <c r="G4" s="80">
        <v>0.14025691309103</v>
      </c>
      <c r="H4" s="75" t="s">
        <v>55</v>
      </c>
      <c r="I4" s="79">
        <f>F4-G4</f>
        <v>1.7833148436287156</v>
      </c>
      <c r="J4" s="53" t="s">
        <v>59</v>
      </c>
      <c r="K4" s="81">
        <v>3</v>
      </c>
      <c r="L4" s="78" t="s">
        <v>59</v>
      </c>
    </row>
    <row r="5" spans="1:12" x14ac:dyDescent="0.25">
      <c r="A5" s="59">
        <v>2</v>
      </c>
      <c r="B5" s="60" t="s">
        <v>35</v>
      </c>
      <c r="C5" s="68">
        <v>27.594999999999999</v>
      </c>
      <c r="D5" s="64">
        <v>32.924999999999997</v>
      </c>
      <c r="E5" s="53">
        <v>32.195</v>
      </c>
      <c r="F5" s="67">
        <v>83.597835790595013</v>
      </c>
      <c r="G5" s="80">
        <v>3.4539829136195914</v>
      </c>
      <c r="H5" s="76">
        <v>2.0830767089349513</v>
      </c>
      <c r="I5" s="79">
        <f>F5-G5</f>
        <v>80.143852876975416</v>
      </c>
      <c r="J5" s="53" t="s">
        <v>59</v>
      </c>
      <c r="K5" s="81">
        <v>2</v>
      </c>
      <c r="L5" s="78" t="s">
        <v>59</v>
      </c>
    </row>
    <row r="6" spans="1:12" x14ac:dyDescent="0.25">
      <c r="A6" s="59">
        <v>3</v>
      </c>
      <c r="B6" s="60" t="s">
        <v>36</v>
      </c>
      <c r="C6" s="68">
        <v>29.29</v>
      </c>
      <c r="D6" s="64">
        <v>35.53</v>
      </c>
      <c r="E6" s="53">
        <v>33.58</v>
      </c>
      <c r="F6" s="67">
        <v>25.838496346273519</v>
      </c>
      <c r="G6" s="80">
        <v>1.3232853917254961</v>
      </c>
      <c r="H6" s="76">
        <v>0.34277640441586449</v>
      </c>
      <c r="I6" s="79">
        <f t="shared" ref="I6:I19" si="0">F6-G6</f>
        <v>24.515210954548024</v>
      </c>
      <c r="J6" s="53" t="s">
        <v>59</v>
      </c>
      <c r="K6" s="81">
        <v>3</v>
      </c>
      <c r="L6" s="78" t="s">
        <v>59</v>
      </c>
    </row>
    <row r="7" spans="1:12" x14ac:dyDescent="0.25">
      <c r="A7" s="59">
        <v>4</v>
      </c>
      <c r="B7" s="60" t="s">
        <v>37</v>
      </c>
      <c r="C7" s="68">
        <v>31.555</v>
      </c>
      <c r="D7" s="65">
        <v>36.08</v>
      </c>
      <c r="E7" s="53">
        <v>37.229999999999997</v>
      </c>
      <c r="F7" s="67">
        <v>5.3809541849334099</v>
      </c>
      <c r="G7" s="80">
        <v>0.10557933184820632</v>
      </c>
      <c r="H7" s="76">
        <v>0.23417882450451771</v>
      </c>
      <c r="I7" s="79">
        <f>F7-G7</f>
        <v>5.2753748530852036</v>
      </c>
      <c r="J7" s="53" t="s">
        <v>59</v>
      </c>
      <c r="K7" s="81">
        <v>3</v>
      </c>
      <c r="L7" s="78" t="s">
        <v>59</v>
      </c>
    </row>
    <row r="8" spans="1:12" x14ac:dyDescent="0.25">
      <c r="A8" s="59">
        <v>5</v>
      </c>
      <c r="B8" s="60" t="s">
        <v>38</v>
      </c>
      <c r="C8" s="68">
        <v>28.93</v>
      </c>
      <c r="D8" s="65">
        <v>36.380000000000003</v>
      </c>
      <c r="E8" s="53">
        <v>34.384999999999998</v>
      </c>
      <c r="F8" s="67">
        <v>33.156637843124813</v>
      </c>
      <c r="G8" s="80">
        <v>0.75766184897932953</v>
      </c>
      <c r="H8" s="76">
        <v>0.19023696736322662</v>
      </c>
      <c r="I8" s="79">
        <f>F8-G8</f>
        <v>32.398975994145481</v>
      </c>
      <c r="J8" s="53" t="s">
        <v>59</v>
      </c>
      <c r="K8" s="81">
        <v>2</v>
      </c>
      <c r="L8" s="78" t="s">
        <v>59</v>
      </c>
    </row>
    <row r="9" spans="1:12" x14ac:dyDescent="0.25">
      <c r="A9" s="59">
        <v>6</v>
      </c>
      <c r="B9" s="60" t="s">
        <v>39</v>
      </c>
      <c r="C9" s="68">
        <v>29.405000000000001</v>
      </c>
      <c r="D9" s="65">
        <v>34.03</v>
      </c>
      <c r="E9" s="53">
        <v>33.364999999999995</v>
      </c>
      <c r="F9" s="67">
        <v>23.859995935152174</v>
      </c>
      <c r="G9" s="80">
        <v>1.535799865696954</v>
      </c>
      <c r="H9" s="76">
        <v>0.96888996266689464</v>
      </c>
      <c r="I9" s="79">
        <f t="shared" si="0"/>
        <v>22.324196069455219</v>
      </c>
      <c r="J9" s="53" t="s">
        <v>59</v>
      </c>
      <c r="K9" s="81">
        <v>2</v>
      </c>
      <c r="L9" s="78" t="s">
        <v>59</v>
      </c>
    </row>
    <row r="10" spans="1:12" x14ac:dyDescent="0.25">
      <c r="A10" s="59">
        <v>7</v>
      </c>
      <c r="B10" s="60" t="s">
        <v>40</v>
      </c>
      <c r="C10" s="68">
        <v>33.730000000000004</v>
      </c>
      <c r="D10" s="71" t="s">
        <v>55</v>
      </c>
      <c r="E10" s="53">
        <v>35.6</v>
      </c>
      <c r="F10" s="67">
        <v>1.1926888641908489</v>
      </c>
      <c r="G10" s="80">
        <v>0.32655170360332286</v>
      </c>
      <c r="H10" s="75" t="s">
        <v>55</v>
      </c>
      <c r="I10" s="79">
        <f t="shared" si="0"/>
        <v>0.86613716058752599</v>
      </c>
      <c r="J10" s="53" t="s">
        <v>59</v>
      </c>
      <c r="K10" s="81">
        <v>2</v>
      </c>
      <c r="L10" s="78" t="s">
        <v>59</v>
      </c>
    </row>
    <row r="11" spans="1:12" x14ac:dyDescent="0.25">
      <c r="A11" s="59">
        <v>8</v>
      </c>
      <c r="B11" s="60" t="s">
        <v>41</v>
      </c>
      <c r="C11" s="68">
        <v>30.465000000000003</v>
      </c>
      <c r="D11" s="65">
        <v>36.125</v>
      </c>
      <c r="E11" s="53">
        <v>34.625</v>
      </c>
      <c r="F11" s="67">
        <v>11.449261249547462</v>
      </c>
      <c r="G11" s="80">
        <v>0.64161314572600381</v>
      </c>
      <c r="H11" s="76">
        <v>0.22699156312090285</v>
      </c>
      <c r="I11" s="79">
        <f t="shared" si="0"/>
        <v>10.807648103821458</v>
      </c>
      <c r="J11" s="53" t="s">
        <v>59</v>
      </c>
      <c r="K11" s="81" t="s">
        <v>59</v>
      </c>
      <c r="L11" s="78" t="s">
        <v>59</v>
      </c>
    </row>
    <row r="12" spans="1:12" x14ac:dyDescent="0.25">
      <c r="A12" s="59">
        <v>9</v>
      </c>
      <c r="B12" s="60" t="s">
        <v>42</v>
      </c>
      <c r="C12" s="68">
        <v>30.934999999999999</v>
      </c>
      <c r="D12" s="65">
        <v>35.625</v>
      </c>
      <c r="E12" s="53">
        <v>33.409999999999997</v>
      </c>
      <c r="F12" s="67">
        <v>8.2676399793121309</v>
      </c>
      <c r="G12" s="80">
        <v>1.4886641133886935</v>
      </c>
      <c r="H12" s="76">
        <v>0.32094520738447196</v>
      </c>
      <c r="I12" s="79">
        <f t="shared" si="0"/>
        <v>6.7789758659234369</v>
      </c>
      <c r="J12" s="53" t="s">
        <v>59</v>
      </c>
      <c r="K12" s="81">
        <v>2</v>
      </c>
      <c r="L12" s="78" t="s">
        <v>59</v>
      </c>
    </row>
    <row r="13" spans="1:12" x14ac:dyDescent="0.25">
      <c r="A13" s="59">
        <v>10</v>
      </c>
      <c r="B13" s="60" t="s">
        <v>43</v>
      </c>
      <c r="C13" s="68">
        <v>30.175000000000001</v>
      </c>
      <c r="D13" s="66">
        <v>34.700000000000003</v>
      </c>
      <c r="E13" s="53">
        <v>33.299999999999997</v>
      </c>
      <c r="F13" s="67">
        <v>13.996574148681775</v>
      </c>
      <c r="G13" s="80">
        <v>1.6065319927368538</v>
      </c>
      <c r="H13" s="76">
        <v>0.60913012238723807</v>
      </c>
      <c r="I13" s="79">
        <f t="shared" si="0"/>
        <v>12.390042155944922</v>
      </c>
      <c r="J13" s="53" t="s">
        <v>59</v>
      </c>
      <c r="K13" s="81">
        <v>2</v>
      </c>
      <c r="L13" s="78" t="s">
        <v>59</v>
      </c>
    </row>
    <row r="14" spans="1:12" x14ac:dyDescent="0.25">
      <c r="A14" s="59">
        <v>11</v>
      </c>
      <c r="B14" s="60" t="s">
        <v>44</v>
      </c>
      <c r="C14" s="68">
        <v>29.184999999999999</v>
      </c>
      <c r="D14" s="67">
        <v>34.35</v>
      </c>
      <c r="E14" s="53">
        <v>33.42</v>
      </c>
      <c r="F14" s="67">
        <v>27.787897243904343</v>
      </c>
      <c r="G14" s="80">
        <v>1.4783875465967224</v>
      </c>
      <c r="H14" s="76">
        <v>0.77625587847926614</v>
      </c>
      <c r="I14" s="79">
        <f t="shared" si="0"/>
        <v>26.309509697307622</v>
      </c>
      <c r="J14" s="53" t="s">
        <v>59</v>
      </c>
      <c r="K14" s="81">
        <v>3</v>
      </c>
      <c r="L14" s="78" t="s">
        <v>59</v>
      </c>
    </row>
    <row r="15" spans="1:12" x14ac:dyDescent="0.25">
      <c r="A15" s="59">
        <v>12</v>
      </c>
      <c r="B15" s="60" t="s">
        <v>45</v>
      </c>
      <c r="C15" s="68">
        <v>30.954999999999998</v>
      </c>
      <c r="D15" s="67">
        <v>34.32</v>
      </c>
      <c r="E15" s="53">
        <v>33.895000000000003</v>
      </c>
      <c r="F15" s="67">
        <v>8.1538873940594208</v>
      </c>
      <c r="G15" s="80">
        <v>1.0638690514783811</v>
      </c>
      <c r="H15" s="76">
        <v>0.79255639178551174</v>
      </c>
      <c r="I15" s="79">
        <f t="shared" si="0"/>
        <v>7.0900183425810397</v>
      </c>
      <c r="J15" s="53" t="s">
        <v>59</v>
      </c>
      <c r="K15" s="81">
        <v>2</v>
      </c>
      <c r="L15" s="78" t="s">
        <v>59</v>
      </c>
    </row>
    <row r="16" spans="1:12" x14ac:dyDescent="0.25">
      <c r="A16" s="59">
        <v>13</v>
      </c>
      <c r="B16" s="60" t="s">
        <v>46</v>
      </c>
      <c r="C16" s="68">
        <v>28.98</v>
      </c>
      <c r="D16" s="67">
        <v>34.400000000000006</v>
      </c>
      <c r="E16" s="53">
        <v>33.974999999999994</v>
      </c>
      <c r="F16" s="67">
        <v>32.027892913237693</v>
      </c>
      <c r="G16" s="80">
        <v>1.0065162399158447</v>
      </c>
      <c r="H16" s="76">
        <v>0.7498299516022956</v>
      </c>
      <c r="I16" s="79">
        <f t="shared" si="0"/>
        <v>31.02137667332185</v>
      </c>
      <c r="J16" s="53" t="s">
        <v>59</v>
      </c>
      <c r="K16" s="81">
        <v>2</v>
      </c>
      <c r="L16" s="78" t="s">
        <v>59</v>
      </c>
    </row>
    <row r="17" spans="1:12" x14ac:dyDescent="0.25">
      <c r="A17" s="59">
        <v>14</v>
      </c>
      <c r="B17" s="60" t="s">
        <v>47</v>
      </c>
      <c r="C17" s="68">
        <v>29.200000000000003</v>
      </c>
      <c r="D17" s="67">
        <v>31.740000000000002</v>
      </c>
      <c r="E17" s="53">
        <v>31.15</v>
      </c>
      <c r="F17" s="67">
        <v>27.500655699631061</v>
      </c>
      <c r="G17" s="80">
        <v>7.1236151617350361</v>
      </c>
      <c r="H17" s="76">
        <v>4.7337297249635677</v>
      </c>
      <c r="I17" s="79">
        <f t="shared" si="0"/>
        <v>20.377040537896026</v>
      </c>
      <c r="J17" s="53" t="s">
        <v>59</v>
      </c>
      <c r="K17" s="81">
        <v>3</v>
      </c>
      <c r="L17" s="78" t="s">
        <v>59</v>
      </c>
    </row>
    <row r="18" spans="1:12" x14ac:dyDescent="0.25">
      <c r="A18" s="59">
        <v>15</v>
      </c>
      <c r="B18" s="60" t="s">
        <v>48</v>
      </c>
      <c r="C18" s="68">
        <v>28.38</v>
      </c>
      <c r="D18" s="67">
        <v>30.605</v>
      </c>
      <c r="E18" s="53">
        <v>30.15</v>
      </c>
      <c r="F18" s="67">
        <v>48.532625127111274</v>
      </c>
      <c r="G18" s="80">
        <v>14.241076132933113</v>
      </c>
      <c r="H18" s="76">
        <v>10.391052403205212</v>
      </c>
      <c r="I18" s="79">
        <f t="shared" si="0"/>
        <v>34.291548994178157</v>
      </c>
      <c r="J18" s="53" t="s">
        <v>59</v>
      </c>
      <c r="K18" s="81">
        <v>2</v>
      </c>
      <c r="L18" s="78" t="s">
        <v>59</v>
      </c>
    </row>
    <row r="19" spans="1:12" x14ac:dyDescent="0.25">
      <c r="A19" s="59">
        <v>16</v>
      </c>
      <c r="B19" s="60" t="s">
        <v>49</v>
      </c>
      <c r="C19" s="68">
        <v>26.369999999999997</v>
      </c>
      <c r="D19" s="67">
        <v>31.574999999999999</v>
      </c>
      <c r="E19" s="53">
        <v>30.545000000000002</v>
      </c>
      <c r="F19" s="67">
        <v>195.31109897468315</v>
      </c>
      <c r="G19" s="80">
        <v>10.832035546757162</v>
      </c>
      <c r="H19" s="76">
        <v>5.3069188554809665</v>
      </c>
      <c r="I19" s="79">
        <f t="shared" si="0"/>
        <v>184.47906342792598</v>
      </c>
      <c r="J19" s="53" t="s">
        <v>59</v>
      </c>
      <c r="K19" s="81" t="s">
        <v>59</v>
      </c>
      <c r="L19" s="78" t="s">
        <v>59</v>
      </c>
    </row>
    <row r="20" spans="1:12" x14ac:dyDescent="0.25">
      <c r="A20" s="59">
        <v>17</v>
      </c>
      <c r="B20" s="60" t="s">
        <v>50</v>
      </c>
      <c r="C20" s="68">
        <v>30.23</v>
      </c>
      <c r="D20" s="67">
        <v>38.17</v>
      </c>
      <c r="E20" s="53">
        <v>34.409999999999997</v>
      </c>
      <c r="F20" s="67">
        <v>13.473344658119597</v>
      </c>
      <c r="G20" s="80">
        <v>0.74465371506179767</v>
      </c>
      <c r="H20" s="76">
        <v>5.5053773551726845E-2</v>
      </c>
      <c r="I20" s="79">
        <f>F20-G20</f>
        <v>12.728690943057799</v>
      </c>
      <c r="J20" s="53" t="s">
        <v>59</v>
      </c>
      <c r="K20" s="81" t="s">
        <v>59</v>
      </c>
      <c r="L20" s="78" t="s">
        <v>60</v>
      </c>
    </row>
    <row r="21" spans="1:12" ht="6.75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1:12" x14ac:dyDescent="0.25">
      <c r="A22" s="77">
        <v>1</v>
      </c>
      <c r="B22" s="69" t="s">
        <v>69</v>
      </c>
      <c r="C22" s="70">
        <f>(28.49+28.39)/2</f>
        <v>28.439999999999998</v>
      </c>
      <c r="D22" s="70">
        <f>(30.47+30.86)/2</f>
        <v>30.664999999999999</v>
      </c>
      <c r="E22" s="70">
        <f>(30.36+30.6)/2</f>
        <v>30.48</v>
      </c>
      <c r="F22" s="69">
        <v>46.556812778545897</v>
      </c>
      <c r="G22" s="69">
        <v>9.968022130289393</v>
      </c>
      <c r="H22" s="76">
        <v>11.330911039265612</v>
      </c>
      <c r="I22" s="69">
        <f>F22-G22</f>
        <v>36.588790648256506</v>
      </c>
      <c r="J22" s="69">
        <v>16</v>
      </c>
      <c r="K22" s="71" t="s">
        <v>55</v>
      </c>
      <c r="L22" s="71" t="s">
        <v>55</v>
      </c>
    </row>
    <row r="23" spans="1:12" x14ac:dyDescent="0.25">
      <c r="A23" s="77">
        <v>2</v>
      </c>
      <c r="B23" s="69" t="s">
        <v>70</v>
      </c>
      <c r="C23" s="70">
        <f>(26.5+26.8)/2</f>
        <v>26.65</v>
      </c>
      <c r="D23" s="70">
        <f>(29.16+29.04)/2</f>
        <v>29.1</v>
      </c>
      <c r="E23" s="70">
        <f>(28.74+28.58)/2</f>
        <v>28.659999999999997</v>
      </c>
      <c r="F23" s="69">
        <v>160.87592732887751</v>
      </c>
      <c r="G23" s="69">
        <v>29.473199563240748</v>
      </c>
      <c r="H23" s="76">
        <v>39.975869850800876</v>
      </c>
      <c r="I23" s="69">
        <f t="shared" ref="I23:I25" si="1">F23-G23</f>
        <v>131.40272776563677</v>
      </c>
      <c r="J23" s="69">
        <v>8</v>
      </c>
      <c r="K23" s="71" t="s">
        <v>55</v>
      </c>
      <c r="L23" s="71" t="s">
        <v>55</v>
      </c>
    </row>
    <row r="24" spans="1:12" x14ac:dyDescent="0.25">
      <c r="A24" s="77">
        <v>3</v>
      </c>
      <c r="B24" s="69" t="s">
        <v>71</v>
      </c>
      <c r="C24" s="70">
        <f>(28.94+29.1)/2</f>
        <v>29.020000000000003</v>
      </c>
      <c r="D24" s="70" t="s">
        <v>55</v>
      </c>
      <c r="E24" s="70">
        <f>(30.08+29.98)/2</f>
        <v>30.03</v>
      </c>
      <c r="F24" s="69">
        <v>31.152626872667032</v>
      </c>
      <c r="G24" s="70" t="s">
        <v>55</v>
      </c>
      <c r="H24" s="76">
        <v>15.475471550897122</v>
      </c>
      <c r="I24" s="69">
        <f>F24</f>
        <v>31.152626872667032</v>
      </c>
      <c r="J24" s="53" t="s">
        <v>76</v>
      </c>
      <c r="K24" s="71" t="s">
        <v>55</v>
      </c>
      <c r="L24" s="71" t="s">
        <v>55</v>
      </c>
    </row>
    <row r="25" spans="1:12" x14ac:dyDescent="0.25">
      <c r="A25" s="77">
        <v>4</v>
      </c>
      <c r="B25" s="69" t="s">
        <v>72</v>
      </c>
      <c r="C25" s="70">
        <v>24.96</v>
      </c>
      <c r="D25" s="70">
        <v>36.520000000000003</v>
      </c>
      <c r="E25" s="70">
        <v>32.46</v>
      </c>
      <c r="F25" s="69">
        <v>518.69809065261734</v>
      </c>
      <c r="G25" s="69">
        <v>0.17265413495357651</v>
      </c>
      <c r="H25" s="76">
        <v>2.8747293289181428</v>
      </c>
      <c r="I25" s="69">
        <f t="shared" si="1"/>
        <v>518.52543651766371</v>
      </c>
      <c r="J25" s="69">
        <v>12</v>
      </c>
      <c r="K25" s="71" t="s">
        <v>55</v>
      </c>
      <c r="L25" s="71" t="s">
        <v>55</v>
      </c>
    </row>
    <row r="26" spans="1:12" x14ac:dyDescent="0.25">
      <c r="A26" s="77">
        <v>5</v>
      </c>
      <c r="B26" s="69" t="s">
        <v>73</v>
      </c>
      <c r="C26" s="70" t="s">
        <v>55</v>
      </c>
      <c r="D26" s="70" t="s">
        <v>55</v>
      </c>
      <c r="E26" s="70" t="s">
        <v>55</v>
      </c>
      <c r="F26" s="70" t="s">
        <v>55</v>
      </c>
      <c r="G26" s="70" t="s">
        <v>55</v>
      </c>
      <c r="H26" s="76" t="s">
        <v>55</v>
      </c>
      <c r="I26" s="70" t="s">
        <v>55</v>
      </c>
      <c r="J26" s="70" t="s">
        <v>76</v>
      </c>
      <c r="K26" s="71" t="s">
        <v>55</v>
      </c>
      <c r="L26" s="71" t="s">
        <v>55</v>
      </c>
    </row>
    <row r="27" spans="1:12" x14ac:dyDescent="0.25">
      <c r="A27" s="77">
        <v>6</v>
      </c>
      <c r="B27" s="69" t="s">
        <v>74</v>
      </c>
      <c r="C27" s="70">
        <f>(38.44+35.52)/2</f>
        <v>36.980000000000004</v>
      </c>
      <c r="D27" s="70" t="s">
        <v>55</v>
      </c>
      <c r="E27" s="70" t="s">
        <v>55</v>
      </c>
      <c r="F27" s="69">
        <v>0.12554213176993198</v>
      </c>
      <c r="G27" s="70" t="s">
        <v>55</v>
      </c>
      <c r="H27" s="76" t="s">
        <v>55</v>
      </c>
      <c r="I27" s="69">
        <f>F27</f>
        <v>0.12554213176993198</v>
      </c>
      <c r="J27" s="70" t="s">
        <v>76</v>
      </c>
      <c r="K27" s="71" t="s">
        <v>55</v>
      </c>
      <c r="L27" s="71" t="s">
        <v>55</v>
      </c>
    </row>
    <row r="28" spans="1:12" x14ac:dyDescent="0.25">
      <c r="A28" s="77">
        <v>7</v>
      </c>
      <c r="B28" s="69" t="s">
        <v>75</v>
      </c>
      <c r="C28" s="70">
        <f>(40.12+38.52)/2</f>
        <v>39.32</v>
      </c>
      <c r="D28" s="70" t="s">
        <v>55</v>
      </c>
      <c r="E28" s="70" t="s">
        <v>55</v>
      </c>
      <c r="F28" s="69">
        <v>2.4820948860820844E-2</v>
      </c>
      <c r="G28" s="70" t="s">
        <v>55</v>
      </c>
      <c r="H28" s="76" t="s">
        <v>55</v>
      </c>
      <c r="I28" s="69">
        <f>F28</f>
        <v>2.4820948860820844E-2</v>
      </c>
      <c r="J28" s="70" t="s">
        <v>76</v>
      </c>
      <c r="K28" s="71" t="s">
        <v>55</v>
      </c>
      <c r="L28" s="71" t="s">
        <v>55</v>
      </c>
    </row>
  </sheetData>
  <mergeCells count="3">
    <mergeCell ref="C1:E1"/>
    <mergeCell ref="F1:H1"/>
    <mergeCell ref="J1:L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9"/>
  <sheetViews>
    <sheetView topLeftCell="B1" zoomScale="90" zoomScaleNormal="90" workbookViewId="0">
      <pane ySplit="4" topLeftCell="A5" activePane="bottomLeft" state="frozen"/>
      <selection pane="bottomLeft" activeCell="B5" sqref="B5:B21"/>
    </sheetView>
  </sheetViews>
  <sheetFormatPr defaultRowHeight="15" x14ac:dyDescent="0.25"/>
  <cols>
    <col min="1" max="1" width="10.5703125" bestFit="1" customWidth="1"/>
    <col min="2" max="2" width="38.85546875" customWidth="1"/>
    <col min="3" max="12" width="15.7109375" customWidth="1"/>
  </cols>
  <sheetData>
    <row r="1" spans="1:12" ht="15.75" thickBot="1" x14ac:dyDescent="0.3"/>
    <row r="2" spans="1:12" x14ac:dyDescent="0.25">
      <c r="C2" s="150" t="s">
        <v>61</v>
      </c>
      <c r="D2" s="150"/>
      <c r="E2" s="151"/>
      <c r="F2" s="152" t="s">
        <v>62</v>
      </c>
      <c r="G2" s="153"/>
      <c r="H2" s="153"/>
      <c r="I2" s="91"/>
      <c r="J2" s="154" t="s">
        <v>56</v>
      </c>
      <c r="K2" s="153"/>
      <c r="L2" s="155"/>
    </row>
    <row r="3" spans="1:12" ht="30" x14ac:dyDescent="0.25">
      <c r="A3" s="53"/>
      <c r="B3" s="53" t="s">
        <v>51</v>
      </c>
      <c r="C3" s="57" t="s">
        <v>52</v>
      </c>
      <c r="D3" s="63" t="s">
        <v>53</v>
      </c>
      <c r="E3" s="89" t="s">
        <v>68</v>
      </c>
      <c r="F3" s="92" t="s">
        <v>64</v>
      </c>
      <c r="G3" s="63" t="s">
        <v>65</v>
      </c>
      <c r="H3" s="73" t="s">
        <v>67</v>
      </c>
      <c r="I3" s="93" t="s">
        <v>77</v>
      </c>
      <c r="J3" s="102" t="s">
        <v>57</v>
      </c>
      <c r="K3" s="63" t="s">
        <v>58</v>
      </c>
      <c r="L3" s="93" t="s">
        <v>66</v>
      </c>
    </row>
    <row r="4" spans="1:12" x14ac:dyDescent="0.25">
      <c r="A4" s="53" t="s">
        <v>63</v>
      </c>
      <c r="B4" s="53"/>
      <c r="C4" s="57" t="s">
        <v>2</v>
      </c>
      <c r="D4" s="62" t="s">
        <v>54</v>
      </c>
      <c r="E4" s="90" t="s">
        <v>1</v>
      </c>
      <c r="F4" s="92" t="s">
        <v>2</v>
      </c>
      <c r="G4" s="62" t="s">
        <v>54</v>
      </c>
      <c r="H4" s="74" t="s">
        <v>1</v>
      </c>
      <c r="I4" s="94"/>
      <c r="J4" s="102"/>
      <c r="K4" s="62"/>
      <c r="L4" s="94"/>
    </row>
    <row r="5" spans="1:12" x14ac:dyDescent="0.25">
      <c r="A5" s="59">
        <v>1</v>
      </c>
      <c r="B5" s="60" t="s">
        <v>34</v>
      </c>
      <c r="C5" s="68">
        <v>33.04</v>
      </c>
      <c r="D5" s="71" t="s">
        <v>55</v>
      </c>
      <c r="E5" s="88">
        <v>36.82</v>
      </c>
      <c r="F5" s="95">
        <v>1.9235717567197457</v>
      </c>
      <c r="G5" s="80">
        <v>0</v>
      </c>
      <c r="H5" s="76">
        <v>0.14025691309103047</v>
      </c>
      <c r="I5" s="105">
        <f>H5-G5</f>
        <v>0.14025691309103047</v>
      </c>
      <c r="J5" s="103" t="s">
        <v>59</v>
      </c>
      <c r="K5" s="81">
        <v>3</v>
      </c>
      <c r="L5" s="96" t="s">
        <v>59</v>
      </c>
    </row>
    <row r="6" spans="1:12" x14ac:dyDescent="0.25">
      <c r="A6" s="59">
        <v>2</v>
      </c>
      <c r="B6" s="60" t="s">
        <v>35</v>
      </c>
      <c r="C6" s="68">
        <v>27.594999999999999</v>
      </c>
      <c r="D6" s="64">
        <v>32.924999999999997</v>
      </c>
      <c r="E6" s="88">
        <v>32.195</v>
      </c>
      <c r="F6" s="95">
        <v>83.597835790595013</v>
      </c>
      <c r="G6" s="80">
        <v>2.08307670893495</v>
      </c>
      <c r="H6" s="76">
        <v>3.4539829136195914</v>
      </c>
      <c r="I6" s="105">
        <f>H6-G6</f>
        <v>1.3709062046846414</v>
      </c>
      <c r="J6" s="103" t="s">
        <v>59</v>
      </c>
      <c r="K6" s="81">
        <v>2</v>
      </c>
      <c r="L6" s="96" t="s">
        <v>59</v>
      </c>
    </row>
    <row r="7" spans="1:12" x14ac:dyDescent="0.25">
      <c r="A7" s="59">
        <v>3</v>
      </c>
      <c r="B7" s="60" t="s">
        <v>36</v>
      </c>
      <c r="C7" s="68">
        <v>29.29</v>
      </c>
      <c r="D7" s="64">
        <v>35.53</v>
      </c>
      <c r="E7" s="88">
        <v>33.58</v>
      </c>
      <c r="F7" s="95">
        <v>25.838496346273519</v>
      </c>
      <c r="G7" s="80">
        <v>0.34277640441586449</v>
      </c>
      <c r="H7" s="76">
        <v>1.3232853917254961</v>
      </c>
      <c r="I7" s="105">
        <f>H7-G7</f>
        <v>0.98050898730963154</v>
      </c>
      <c r="J7" s="103" t="s">
        <v>59</v>
      </c>
      <c r="K7" s="81">
        <v>3</v>
      </c>
      <c r="L7" s="96" t="s">
        <v>59</v>
      </c>
    </row>
    <row r="8" spans="1:12" x14ac:dyDescent="0.25">
      <c r="A8" s="59">
        <v>4</v>
      </c>
      <c r="B8" s="60" t="s">
        <v>37</v>
      </c>
      <c r="C8" s="68">
        <v>31.555</v>
      </c>
      <c r="D8" s="65">
        <v>36.08</v>
      </c>
      <c r="E8" s="88">
        <v>37.229999999999997</v>
      </c>
      <c r="F8" s="95">
        <v>5.3809541849334099</v>
      </c>
      <c r="G8" s="80">
        <v>0.23417882450451771</v>
      </c>
      <c r="H8" s="76">
        <v>0.10557933184820632</v>
      </c>
      <c r="I8" s="105">
        <f t="shared" ref="I8:I21" si="0">H8-G8</f>
        <v>-0.12859949265631138</v>
      </c>
      <c r="J8" s="103" t="s">
        <v>59</v>
      </c>
      <c r="K8" s="81">
        <v>3</v>
      </c>
      <c r="L8" s="96" t="s">
        <v>59</v>
      </c>
    </row>
    <row r="9" spans="1:12" x14ac:dyDescent="0.25">
      <c r="A9" s="59">
        <v>5</v>
      </c>
      <c r="B9" s="60" t="s">
        <v>38</v>
      </c>
      <c r="C9" s="68">
        <v>28.93</v>
      </c>
      <c r="D9" s="65">
        <v>36.380000000000003</v>
      </c>
      <c r="E9" s="88">
        <v>34.384999999999998</v>
      </c>
      <c r="F9" s="95">
        <v>33.156637843124813</v>
      </c>
      <c r="G9" s="80">
        <v>0.19023696736322701</v>
      </c>
      <c r="H9" s="76">
        <v>0.75766184897932953</v>
      </c>
      <c r="I9" s="105">
        <f t="shared" si="0"/>
        <v>0.56742488161610249</v>
      </c>
      <c r="J9" s="103" t="s">
        <v>59</v>
      </c>
      <c r="K9" s="81">
        <v>2</v>
      </c>
      <c r="L9" s="96" t="s">
        <v>59</v>
      </c>
    </row>
    <row r="10" spans="1:12" x14ac:dyDescent="0.25">
      <c r="A10" s="59">
        <v>6</v>
      </c>
      <c r="B10" s="60" t="s">
        <v>39</v>
      </c>
      <c r="C10" s="68">
        <v>29.405000000000001</v>
      </c>
      <c r="D10" s="65">
        <v>34.03</v>
      </c>
      <c r="E10" s="88">
        <v>33.364999999999995</v>
      </c>
      <c r="F10" s="95">
        <v>23.859995935152174</v>
      </c>
      <c r="G10" s="80">
        <v>0.96888996266689464</v>
      </c>
      <c r="H10" s="76">
        <v>1.535799865696954</v>
      </c>
      <c r="I10" s="105">
        <f t="shared" si="0"/>
        <v>0.56690990303005939</v>
      </c>
      <c r="J10" s="103" t="s">
        <v>59</v>
      </c>
      <c r="K10" s="81">
        <v>2</v>
      </c>
      <c r="L10" s="96" t="s">
        <v>59</v>
      </c>
    </row>
    <row r="11" spans="1:12" x14ac:dyDescent="0.25">
      <c r="A11" s="59">
        <v>7</v>
      </c>
      <c r="B11" s="60" t="s">
        <v>40</v>
      </c>
      <c r="C11" s="68">
        <v>33.730000000000004</v>
      </c>
      <c r="D11" s="71" t="s">
        <v>55</v>
      </c>
      <c r="E11" s="88">
        <v>35.6</v>
      </c>
      <c r="F11" s="95">
        <v>1.1926888641908489</v>
      </c>
      <c r="G11" s="80">
        <v>0</v>
      </c>
      <c r="H11" s="76">
        <v>0.32655170360332286</v>
      </c>
      <c r="I11" s="105">
        <f t="shared" si="0"/>
        <v>0.32655170360332286</v>
      </c>
      <c r="J11" s="103" t="s">
        <v>59</v>
      </c>
      <c r="K11" s="81">
        <v>2</v>
      </c>
      <c r="L11" s="96" t="s">
        <v>59</v>
      </c>
    </row>
    <row r="12" spans="1:12" x14ac:dyDescent="0.25">
      <c r="A12" s="59">
        <v>8</v>
      </c>
      <c r="B12" s="60" t="s">
        <v>41</v>
      </c>
      <c r="C12" s="68">
        <v>30.465000000000003</v>
      </c>
      <c r="D12" s="65">
        <v>36.125</v>
      </c>
      <c r="E12" s="88">
        <v>34.625</v>
      </c>
      <c r="F12" s="95">
        <v>11.449261249547462</v>
      </c>
      <c r="G12" s="80">
        <v>0.22699156312090285</v>
      </c>
      <c r="H12" s="76">
        <v>0.64161314572600381</v>
      </c>
      <c r="I12" s="105">
        <f t="shared" si="0"/>
        <v>0.41462158260510096</v>
      </c>
      <c r="J12" s="103" t="s">
        <v>59</v>
      </c>
      <c r="K12" s="81" t="s">
        <v>59</v>
      </c>
      <c r="L12" s="96" t="s">
        <v>59</v>
      </c>
    </row>
    <row r="13" spans="1:12" x14ac:dyDescent="0.25">
      <c r="A13" s="59">
        <v>9</v>
      </c>
      <c r="B13" s="60" t="s">
        <v>42</v>
      </c>
      <c r="C13" s="68">
        <v>30.934999999999999</v>
      </c>
      <c r="D13" s="65">
        <v>35.625</v>
      </c>
      <c r="E13" s="88">
        <v>33.409999999999997</v>
      </c>
      <c r="F13" s="95">
        <v>8.2676399793121309</v>
      </c>
      <c r="G13" s="80">
        <v>0.32094520738447196</v>
      </c>
      <c r="H13" s="76">
        <v>1.4886641133886935</v>
      </c>
      <c r="I13" s="105">
        <f t="shared" si="0"/>
        <v>1.1677189060042217</v>
      </c>
      <c r="J13" s="103" t="s">
        <v>59</v>
      </c>
      <c r="K13" s="81">
        <v>2</v>
      </c>
      <c r="L13" s="96" t="s">
        <v>59</v>
      </c>
    </row>
    <row r="14" spans="1:12" x14ac:dyDescent="0.25">
      <c r="A14" s="59">
        <v>10</v>
      </c>
      <c r="B14" s="60" t="s">
        <v>43</v>
      </c>
      <c r="C14" s="68">
        <v>30.175000000000001</v>
      </c>
      <c r="D14" s="66">
        <v>34.700000000000003</v>
      </c>
      <c r="E14" s="88">
        <v>33.299999999999997</v>
      </c>
      <c r="F14" s="95">
        <v>13.996574148681775</v>
      </c>
      <c r="G14" s="80">
        <v>0.60913012238723807</v>
      </c>
      <c r="H14" s="76">
        <v>1.6065319927368538</v>
      </c>
      <c r="I14" s="105">
        <f t="shared" si="0"/>
        <v>0.99740187034961569</v>
      </c>
      <c r="J14" s="103" t="s">
        <v>59</v>
      </c>
      <c r="K14" s="81">
        <v>2</v>
      </c>
      <c r="L14" s="96" t="s">
        <v>59</v>
      </c>
    </row>
    <row r="15" spans="1:12" x14ac:dyDescent="0.25">
      <c r="A15" s="59">
        <v>11</v>
      </c>
      <c r="B15" s="60" t="s">
        <v>44</v>
      </c>
      <c r="C15" s="68">
        <v>29.184999999999999</v>
      </c>
      <c r="D15" s="67">
        <v>34.35</v>
      </c>
      <c r="E15" s="88">
        <v>33.42</v>
      </c>
      <c r="F15" s="95">
        <v>27.787897243904343</v>
      </c>
      <c r="G15" s="80">
        <v>0.77625587847926614</v>
      </c>
      <c r="H15" s="76">
        <v>1.4783875465967224</v>
      </c>
      <c r="I15" s="105">
        <f t="shared" si="0"/>
        <v>0.70213166811745631</v>
      </c>
      <c r="J15" s="103" t="s">
        <v>59</v>
      </c>
      <c r="K15" s="81">
        <v>3</v>
      </c>
      <c r="L15" s="96" t="s">
        <v>59</v>
      </c>
    </row>
    <row r="16" spans="1:12" x14ac:dyDescent="0.25">
      <c r="A16" s="59">
        <v>12</v>
      </c>
      <c r="B16" s="60" t="s">
        <v>45</v>
      </c>
      <c r="C16" s="68">
        <v>30.954999999999998</v>
      </c>
      <c r="D16" s="67">
        <v>34.32</v>
      </c>
      <c r="E16" s="88">
        <v>33.895000000000003</v>
      </c>
      <c r="F16" s="95">
        <v>8.1538873940594208</v>
      </c>
      <c r="G16" s="80">
        <v>0.79255639178551174</v>
      </c>
      <c r="H16" s="76">
        <v>1.0638690514783811</v>
      </c>
      <c r="I16" s="105">
        <f t="shared" si="0"/>
        <v>0.27131265969286933</v>
      </c>
      <c r="J16" s="103" t="s">
        <v>59</v>
      </c>
      <c r="K16" s="81">
        <v>2</v>
      </c>
      <c r="L16" s="96" t="s">
        <v>59</v>
      </c>
    </row>
    <row r="17" spans="1:12" x14ac:dyDescent="0.25">
      <c r="A17" s="59">
        <v>13</v>
      </c>
      <c r="B17" s="60" t="s">
        <v>46</v>
      </c>
      <c r="C17" s="68">
        <v>28.98</v>
      </c>
      <c r="D17" s="67">
        <v>34.400000000000006</v>
      </c>
      <c r="E17" s="88">
        <v>33.974999999999994</v>
      </c>
      <c r="F17" s="95">
        <v>32.027892913237693</v>
      </c>
      <c r="G17" s="80">
        <v>0.7498299516022956</v>
      </c>
      <c r="H17" s="76">
        <v>1.0065162399158447</v>
      </c>
      <c r="I17" s="105">
        <f t="shared" si="0"/>
        <v>0.25668628831354912</v>
      </c>
      <c r="J17" s="103" t="s">
        <v>59</v>
      </c>
      <c r="K17" s="81">
        <v>2</v>
      </c>
      <c r="L17" s="96" t="s">
        <v>59</v>
      </c>
    </row>
    <row r="18" spans="1:12" x14ac:dyDescent="0.25">
      <c r="A18" s="59">
        <v>14</v>
      </c>
      <c r="B18" s="60" t="s">
        <v>47</v>
      </c>
      <c r="C18" s="68">
        <v>29.200000000000003</v>
      </c>
      <c r="D18" s="67">
        <v>31.740000000000002</v>
      </c>
      <c r="E18" s="88">
        <v>31.15</v>
      </c>
      <c r="F18" s="95">
        <v>27.500655699631061</v>
      </c>
      <c r="G18" s="80">
        <v>4.7337297249635677</v>
      </c>
      <c r="H18" s="76">
        <v>7.1236151617350361</v>
      </c>
      <c r="I18" s="105">
        <f t="shared" si="0"/>
        <v>2.3898854367714684</v>
      </c>
      <c r="J18" s="103" t="s">
        <v>59</v>
      </c>
      <c r="K18" s="81">
        <v>3</v>
      </c>
      <c r="L18" s="96" t="s">
        <v>59</v>
      </c>
    </row>
    <row r="19" spans="1:12" x14ac:dyDescent="0.25">
      <c r="A19" s="59">
        <v>15</v>
      </c>
      <c r="B19" s="60" t="s">
        <v>48</v>
      </c>
      <c r="C19" s="68">
        <v>28.38</v>
      </c>
      <c r="D19" s="67">
        <v>30.605</v>
      </c>
      <c r="E19" s="88">
        <v>30.15</v>
      </c>
      <c r="F19" s="95">
        <v>48.532625127111274</v>
      </c>
      <c r="G19" s="80">
        <v>10.391052403205212</v>
      </c>
      <c r="H19" s="76">
        <v>14.241076132933113</v>
      </c>
      <c r="I19" s="105">
        <f t="shared" si="0"/>
        <v>3.8500237297279014</v>
      </c>
      <c r="J19" s="103" t="s">
        <v>59</v>
      </c>
      <c r="K19" s="81">
        <v>2</v>
      </c>
      <c r="L19" s="96" t="s">
        <v>59</v>
      </c>
    </row>
    <row r="20" spans="1:12" x14ac:dyDescent="0.25">
      <c r="A20" s="59">
        <v>16</v>
      </c>
      <c r="B20" s="60" t="s">
        <v>49</v>
      </c>
      <c r="C20" s="68">
        <v>26.369999999999997</v>
      </c>
      <c r="D20" s="67">
        <v>31.574999999999999</v>
      </c>
      <c r="E20" s="88">
        <v>30.545000000000002</v>
      </c>
      <c r="F20" s="95">
        <v>195.31109897468315</v>
      </c>
      <c r="G20" s="80">
        <v>5.3069188554809665</v>
      </c>
      <c r="H20" s="76">
        <v>10.832035546757162</v>
      </c>
      <c r="I20" s="105">
        <f t="shared" si="0"/>
        <v>5.5251166912761951</v>
      </c>
      <c r="J20" s="103" t="s">
        <v>59</v>
      </c>
      <c r="K20" s="81" t="s">
        <v>59</v>
      </c>
      <c r="L20" s="96" t="s">
        <v>59</v>
      </c>
    </row>
    <row r="21" spans="1:12" ht="15.75" thickBot="1" x14ac:dyDescent="0.3">
      <c r="A21" s="59">
        <v>17</v>
      </c>
      <c r="B21" s="60" t="s">
        <v>50</v>
      </c>
      <c r="C21" s="68">
        <v>30.23</v>
      </c>
      <c r="D21" s="67">
        <v>38.17</v>
      </c>
      <c r="E21" s="88">
        <v>34.409999999999997</v>
      </c>
      <c r="F21" s="97">
        <v>13.473344658119597</v>
      </c>
      <c r="G21" s="98">
        <v>5.5053773551726845E-2</v>
      </c>
      <c r="H21" s="99">
        <v>0.74465371506179767</v>
      </c>
      <c r="I21" s="106">
        <f t="shared" si="0"/>
        <v>0.68959994151007087</v>
      </c>
      <c r="J21" s="104" t="s">
        <v>59</v>
      </c>
      <c r="K21" s="100" t="s">
        <v>59</v>
      </c>
      <c r="L21" s="101" t="s">
        <v>60</v>
      </c>
    </row>
    <row r="22" spans="1:12" ht="6.75" customHeight="1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 x14ac:dyDescent="0.25">
      <c r="A23" s="77">
        <v>1</v>
      </c>
      <c r="B23" s="69" t="s">
        <v>69</v>
      </c>
      <c r="C23" s="70">
        <f>(28.49+28.39)/2</f>
        <v>28.439999999999998</v>
      </c>
      <c r="D23" s="70">
        <f>(30.47+30.86)/2</f>
        <v>30.664999999999999</v>
      </c>
      <c r="E23" s="70">
        <f>(30.36+30.6)/2</f>
        <v>30.48</v>
      </c>
      <c r="F23" s="69">
        <v>46.556812778545897</v>
      </c>
      <c r="G23" s="69">
        <v>9.968022130289393</v>
      </c>
      <c r="H23" s="76">
        <v>11.330911039265612</v>
      </c>
      <c r="I23" s="69">
        <f>H23-G23</f>
        <v>1.3628889089762186</v>
      </c>
      <c r="J23" s="69">
        <v>16</v>
      </c>
      <c r="K23" s="71" t="s">
        <v>55</v>
      </c>
      <c r="L23" s="71" t="s">
        <v>55</v>
      </c>
    </row>
    <row r="24" spans="1:12" x14ac:dyDescent="0.25">
      <c r="A24" s="77">
        <v>2</v>
      </c>
      <c r="B24" s="69" t="s">
        <v>70</v>
      </c>
      <c r="C24" s="70">
        <f>(26.5+26.8)/2</f>
        <v>26.65</v>
      </c>
      <c r="D24" s="70">
        <f>(29.16+29.04)/2</f>
        <v>29.1</v>
      </c>
      <c r="E24" s="70">
        <f>(28.74+28.58)/2</f>
        <v>28.659999999999997</v>
      </c>
      <c r="F24" s="69">
        <v>160.87592732887751</v>
      </c>
      <c r="G24" s="69">
        <v>29.473199563240748</v>
      </c>
      <c r="H24" s="76">
        <v>39.975869850800876</v>
      </c>
      <c r="I24" s="69">
        <f>H24-G24</f>
        <v>10.502670287560129</v>
      </c>
      <c r="J24" s="69">
        <v>8</v>
      </c>
      <c r="K24" s="71" t="s">
        <v>55</v>
      </c>
      <c r="L24" s="71" t="s">
        <v>55</v>
      </c>
    </row>
    <row r="25" spans="1:12" x14ac:dyDescent="0.25">
      <c r="A25" s="77">
        <v>3</v>
      </c>
      <c r="B25" s="69" t="s">
        <v>71</v>
      </c>
      <c r="C25" s="70">
        <f>(28.94+29.1)/2</f>
        <v>29.020000000000003</v>
      </c>
      <c r="D25" s="70" t="s">
        <v>55</v>
      </c>
      <c r="E25" s="70">
        <f>(30.08+29.98)/2</f>
        <v>30.03</v>
      </c>
      <c r="F25" s="69">
        <v>31.152626872667032</v>
      </c>
      <c r="G25" s="70">
        <v>0</v>
      </c>
      <c r="H25" s="76">
        <v>15.475471550897122</v>
      </c>
      <c r="I25" s="69">
        <f>H25-G25</f>
        <v>15.475471550897122</v>
      </c>
      <c r="J25" s="53" t="s">
        <v>76</v>
      </c>
      <c r="K25" s="71" t="s">
        <v>55</v>
      </c>
      <c r="L25" s="71" t="s">
        <v>55</v>
      </c>
    </row>
    <row r="26" spans="1:12" x14ac:dyDescent="0.25">
      <c r="A26" s="77">
        <v>4</v>
      </c>
      <c r="B26" s="69" t="s">
        <v>72</v>
      </c>
      <c r="C26" s="70">
        <v>24.96</v>
      </c>
      <c r="D26" s="70">
        <v>36.520000000000003</v>
      </c>
      <c r="E26" s="70">
        <v>32.46</v>
      </c>
      <c r="F26" s="69">
        <v>518.69809065261734</v>
      </c>
      <c r="G26" s="69">
        <v>0.17265413495357651</v>
      </c>
      <c r="H26" s="76">
        <v>2.8747293289181428</v>
      </c>
      <c r="I26" s="69">
        <f>H26-G26</f>
        <v>2.7020751939645664</v>
      </c>
      <c r="J26" s="69">
        <v>12</v>
      </c>
      <c r="K26" s="71" t="s">
        <v>55</v>
      </c>
      <c r="L26" s="71" t="s">
        <v>55</v>
      </c>
    </row>
    <row r="27" spans="1:12" x14ac:dyDescent="0.25">
      <c r="A27" s="77">
        <v>5</v>
      </c>
      <c r="B27" s="69" t="s">
        <v>73</v>
      </c>
      <c r="C27" s="70" t="s">
        <v>55</v>
      </c>
      <c r="D27" s="70" t="s">
        <v>55</v>
      </c>
      <c r="E27" s="70" t="s">
        <v>55</v>
      </c>
      <c r="F27" s="70" t="s">
        <v>55</v>
      </c>
      <c r="G27" s="70" t="s">
        <v>55</v>
      </c>
      <c r="H27" s="76" t="s">
        <v>55</v>
      </c>
      <c r="I27" s="69" t="e">
        <f t="shared" ref="I27:I29" si="1">H27-G27</f>
        <v>#VALUE!</v>
      </c>
      <c r="J27" s="70" t="s">
        <v>76</v>
      </c>
      <c r="K27" s="71" t="s">
        <v>55</v>
      </c>
      <c r="L27" s="71" t="s">
        <v>55</v>
      </c>
    </row>
    <row r="28" spans="1:12" x14ac:dyDescent="0.25">
      <c r="A28" s="77">
        <v>6</v>
      </c>
      <c r="B28" s="69" t="s">
        <v>74</v>
      </c>
      <c r="C28" s="70">
        <f>(38.44+35.52)/2</f>
        <v>36.980000000000004</v>
      </c>
      <c r="D28" s="70" t="s">
        <v>55</v>
      </c>
      <c r="E28" s="70" t="s">
        <v>55</v>
      </c>
      <c r="F28" s="69">
        <v>0.12554213176993198</v>
      </c>
      <c r="G28" s="70" t="s">
        <v>55</v>
      </c>
      <c r="H28" s="76" t="s">
        <v>55</v>
      </c>
      <c r="I28" s="69" t="e">
        <f t="shared" si="1"/>
        <v>#VALUE!</v>
      </c>
      <c r="J28" s="70" t="s">
        <v>76</v>
      </c>
      <c r="K28" s="71" t="s">
        <v>55</v>
      </c>
      <c r="L28" s="71" t="s">
        <v>55</v>
      </c>
    </row>
    <row r="29" spans="1:12" x14ac:dyDescent="0.25">
      <c r="A29" s="77">
        <v>7</v>
      </c>
      <c r="B29" s="69" t="s">
        <v>75</v>
      </c>
      <c r="C29" s="70">
        <f>(40.12+38.52)/2</f>
        <v>39.32</v>
      </c>
      <c r="D29" s="70" t="s">
        <v>55</v>
      </c>
      <c r="E29" s="70" t="s">
        <v>55</v>
      </c>
      <c r="F29" s="69">
        <v>2.4820948860820844E-2</v>
      </c>
      <c r="G29" s="70" t="s">
        <v>55</v>
      </c>
      <c r="H29" s="76" t="s">
        <v>55</v>
      </c>
      <c r="I29" s="69" t="e">
        <f t="shared" si="1"/>
        <v>#VALUE!</v>
      </c>
      <c r="J29" s="70" t="s">
        <v>76</v>
      </c>
      <c r="K29" s="71" t="s">
        <v>55</v>
      </c>
      <c r="L29" s="71" t="s">
        <v>55</v>
      </c>
    </row>
  </sheetData>
  <mergeCells count="3">
    <mergeCell ref="C2:E2"/>
    <mergeCell ref="F2:H2"/>
    <mergeCell ref="J2:L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J9" sqref="J9"/>
    </sheetView>
  </sheetViews>
  <sheetFormatPr defaultRowHeight="15" x14ac:dyDescent="0.25"/>
  <cols>
    <col min="1" max="1" width="3.28515625" style="82" bestFit="1" customWidth="1"/>
    <col min="2" max="2" width="36.5703125" style="82" customWidth="1"/>
    <col min="3" max="6" width="15.7109375" style="82" customWidth="1"/>
    <col min="7" max="16384" width="9.140625" style="82"/>
  </cols>
  <sheetData>
    <row r="1" spans="1:6" x14ac:dyDescent="0.25">
      <c r="A1" s="156" t="s">
        <v>78</v>
      </c>
      <c r="B1" s="156" t="s">
        <v>51</v>
      </c>
      <c r="C1" s="156" t="s">
        <v>62</v>
      </c>
      <c r="D1" s="156"/>
      <c r="E1" s="156" t="s">
        <v>56</v>
      </c>
      <c r="F1" s="156"/>
    </row>
    <row r="2" spans="1:6" ht="30" x14ac:dyDescent="0.25">
      <c r="A2" s="156"/>
      <c r="B2" s="156"/>
      <c r="C2" s="63" t="s">
        <v>65</v>
      </c>
      <c r="D2" s="61" t="s">
        <v>77</v>
      </c>
      <c r="E2" s="63" t="s">
        <v>58</v>
      </c>
      <c r="F2" s="61" t="s">
        <v>66</v>
      </c>
    </row>
    <row r="3" spans="1:6" x14ac:dyDescent="0.25">
      <c r="A3" s="86">
        <v>1</v>
      </c>
      <c r="B3" s="87" t="s">
        <v>34</v>
      </c>
      <c r="C3" s="80">
        <v>0</v>
      </c>
      <c r="D3" s="83">
        <v>0.14025691309103047</v>
      </c>
      <c r="E3" s="84">
        <v>3</v>
      </c>
      <c r="F3" s="85" t="s">
        <v>59</v>
      </c>
    </row>
    <row r="4" spans="1:6" x14ac:dyDescent="0.25">
      <c r="A4" s="86">
        <v>2</v>
      </c>
      <c r="B4" s="87" t="s">
        <v>35</v>
      </c>
      <c r="C4" s="80">
        <v>2.0830767089349513</v>
      </c>
      <c r="D4" s="83">
        <v>1.3709062046846401</v>
      </c>
      <c r="E4" s="84">
        <v>2</v>
      </c>
      <c r="F4" s="85" t="s">
        <v>59</v>
      </c>
    </row>
    <row r="5" spans="1:6" x14ac:dyDescent="0.25">
      <c r="A5" s="86">
        <v>3</v>
      </c>
      <c r="B5" s="87" t="s">
        <v>36</v>
      </c>
      <c r="C5" s="80">
        <v>0.34277640441586449</v>
      </c>
      <c r="D5" s="83">
        <v>0.98050898730963154</v>
      </c>
      <c r="E5" s="84">
        <v>3</v>
      </c>
      <c r="F5" s="85" t="s">
        <v>59</v>
      </c>
    </row>
    <row r="6" spans="1:6" x14ac:dyDescent="0.25">
      <c r="A6" s="86">
        <v>4</v>
      </c>
      <c r="B6" s="87" t="s">
        <v>37</v>
      </c>
      <c r="C6" s="80">
        <v>0.23417882450451771</v>
      </c>
      <c r="D6" s="83">
        <v>-0.12859949265631138</v>
      </c>
      <c r="E6" s="84">
        <v>3</v>
      </c>
      <c r="F6" s="85" t="s">
        <v>59</v>
      </c>
    </row>
    <row r="7" spans="1:6" x14ac:dyDescent="0.25">
      <c r="A7" s="86">
        <v>5</v>
      </c>
      <c r="B7" s="87" t="s">
        <v>38</v>
      </c>
      <c r="C7" s="80">
        <v>0.19023696736322662</v>
      </c>
      <c r="D7" s="83">
        <v>0.56742488161610294</v>
      </c>
      <c r="E7" s="84">
        <v>2</v>
      </c>
      <c r="F7" s="85" t="s">
        <v>59</v>
      </c>
    </row>
    <row r="8" spans="1:6" x14ac:dyDescent="0.25">
      <c r="A8" s="86">
        <v>6</v>
      </c>
      <c r="B8" s="87" t="s">
        <v>39</v>
      </c>
      <c r="C8" s="80">
        <v>0.96888996266689464</v>
      </c>
      <c r="D8" s="83">
        <v>0.56690990303005939</v>
      </c>
      <c r="E8" s="84">
        <v>2</v>
      </c>
      <c r="F8" s="85" t="s">
        <v>59</v>
      </c>
    </row>
    <row r="9" spans="1:6" x14ac:dyDescent="0.25">
      <c r="A9" s="86">
        <v>7</v>
      </c>
      <c r="B9" s="87" t="s">
        <v>40</v>
      </c>
      <c r="C9" s="80">
        <v>0</v>
      </c>
      <c r="D9" s="83">
        <v>0.32655170360332286</v>
      </c>
      <c r="E9" s="84">
        <v>2</v>
      </c>
      <c r="F9" s="85" t="s">
        <v>59</v>
      </c>
    </row>
    <row r="10" spans="1:6" x14ac:dyDescent="0.25">
      <c r="A10" s="86">
        <v>8</v>
      </c>
      <c r="B10" s="87" t="s">
        <v>41</v>
      </c>
      <c r="C10" s="80">
        <v>0.22699156312090285</v>
      </c>
      <c r="D10" s="83">
        <v>0.41462158260510096</v>
      </c>
      <c r="E10" s="84" t="s">
        <v>59</v>
      </c>
      <c r="F10" s="85" t="s">
        <v>59</v>
      </c>
    </row>
    <row r="11" spans="1:6" x14ac:dyDescent="0.25">
      <c r="A11" s="86">
        <v>9</v>
      </c>
      <c r="B11" s="87" t="s">
        <v>42</v>
      </c>
      <c r="C11" s="80">
        <v>0.32094520738447196</v>
      </c>
      <c r="D11" s="83">
        <v>1.1677189060042217</v>
      </c>
      <c r="E11" s="84">
        <v>2</v>
      </c>
      <c r="F11" s="85" t="s">
        <v>59</v>
      </c>
    </row>
    <row r="12" spans="1:6" x14ac:dyDescent="0.25">
      <c r="A12" s="86">
        <v>10</v>
      </c>
      <c r="B12" s="87" t="s">
        <v>43</v>
      </c>
      <c r="C12" s="80">
        <v>0.60913012238723807</v>
      </c>
      <c r="D12" s="83">
        <v>0.99740187034961569</v>
      </c>
      <c r="E12" s="84">
        <v>2</v>
      </c>
      <c r="F12" s="85" t="s">
        <v>59</v>
      </c>
    </row>
    <row r="13" spans="1:6" x14ac:dyDescent="0.25">
      <c r="A13" s="86">
        <v>11</v>
      </c>
      <c r="B13" s="87" t="s">
        <v>44</v>
      </c>
      <c r="C13" s="80">
        <v>0.77625587847926614</v>
      </c>
      <c r="D13" s="83">
        <v>0.70213166811745631</v>
      </c>
      <c r="E13" s="84">
        <v>3</v>
      </c>
      <c r="F13" s="85" t="s">
        <v>59</v>
      </c>
    </row>
    <row r="14" spans="1:6" x14ac:dyDescent="0.25">
      <c r="A14" s="86">
        <v>12</v>
      </c>
      <c r="B14" s="87" t="s">
        <v>45</v>
      </c>
      <c r="C14" s="80">
        <v>0.79255639178551174</v>
      </c>
      <c r="D14" s="83">
        <v>0.27131265969286933</v>
      </c>
      <c r="E14" s="84">
        <v>2</v>
      </c>
      <c r="F14" s="85" t="s">
        <v>59</v>
      </c>
    </row>
    <row r="15" spans="1:6" x14ac:dyDescent="0.25">
      <c r="A15" s="86">
        <v>13</v>
      </c>
      <c r="B15" s="87" t="s">
        <v>46</v>
      </c>
      <c r="C15" s="80">
        <v>0.7498299516022956</v>
      </c>
      <c r="D15" s="83">
        <v>0.25668628831354912</v>
      </c>
      <c r="E15" s="84">
        <v>2</v>
      </c>
      <c r="F15" s="85" t="s">
        <v>59</v>
      </c>
    </row>
    <row r="16" spans="1:6" x14ac:dyDescent="0.25">
      <c r="A16" s="86">
        <v>14</v>
      </c>
      <c r="B16" s="87" t="s">
        <v>47</v>
      </c>
      <c r="C16" s="80">
        <v>4.7337297249635677</v>
      </c>
      <c r="D16" s="83">
        <v>2.3898854367714684</v>
      </c>
      <c r="E16" s="84">
        <v>3</v>
      </c>
      <c r="F16" s="85" t="s">
        <v>59</v>
      </c>
    </row>
    <row r="17" spans="1:6" x14ac:dyDescent="0.25">
      <c r="A17" s="86">
        <v>15</v>
      </c>
      <c r="B17" s="87" t="s">
        <v>48</v>
      </c>
      <c r="C17" s="80">
        <v>10.391052403205212</v>
      </c>
      <c r="D17" s="83">
        <v>3.8500237297279014</v>
      </c>
      <c r="E17" s="84">
        <v>2</v>
      </c>
      <c r="F17" s="85" t="s">
        <v>59</v>
      </c>
    </row>
    <row r="18" spans="1:6" x14ac:dyDescent="0.25">
      <c r="A18" s="86">
        <v>16</v>
      </c>
      <c r="B18" s="87" t="s">
        <v>49</v>
      </c>
      <c r="C18" s="80">
        <v>5.3069188554809665</v>
      </c>
      <c r="D18" s="83">
        <v>5.5251166912761951</v>
      </c>
      <c r="E18" s="84" t="s">
        <v>59</v>
      </c>
      <c r="F18" s="85" t="s">
        <v>59</v>
      </c>
    </row>
    <row r="19" spans="1:6" x14ac:dyDescent="0.25">
      <c r="A19" s="86">
        <v>17</v>
      </c>
      <c r="B19" s="87" t="s">
        <v>50</v>
      </c>
      <c r="C19" s="80">
        <v>5.5053773551726845E-2</v>
      </c>
      <c r="D19" s="83">
        <v>0.68959994151007087</v>
      </c>
      <c r="E19" s="84" t="s">
        <v>59</v>
      </c>
      <c r="F19" s="85" t="s">
        <v>60</v>
      </c>
    </row>
  </sheetData>
  <mergeCells count="4">
    <mergeCell ref="C1:D1"/>
    <mergeCell ref="E1:F1"/>
    <mergeCell ref="B1:B2"/>
    <mergeCell ref="A1: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Matrix Samples</vt:lpstr>
      <vt:lpstr>Matrix Samples (2)</vt:lpstr>
      <vt:lpstr>Others</vt:lpstr>
      <vt:lpstr>PCR VS Culture </vt:lpstr>
      <vt:lpstr>PCR VS Culture 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2023-05-08T10:19:05Z</dcterms:modified>
</cp:coreProperties>
</file>